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iDOK4Zi7PwO1YYudQMhGsRzs6Omz2FWc5B91VE0crTafAs9KmppkHW4dXCg7F7sartBJmK0EH8UShlcU7Sg+wQ==" workbookSaltValue="GTnyE8abriIBBrUqmPRGe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E18" i="12"/>
  <c r="D18" i="12"/>
  <c r="ER19" i="8"/>
  <c r="EQ19" i="8"/>
  <c r="BA13" i="16"/>
  <c r="AC17" i="11"/>
  <c r="G18" i="12"/>
  <c r="W19" i="13"/>
  <c r="Z19" i="8"/>
  <c r="AL13" i="16"/>
  <c r="S13" i="16"/>
  <c r="P13" i="16"/>
  <c r="AN13" i="20"/>
  <c r="Z13" i="17"/>
  <c r="T19" i="8"/>
  <c r="BG12" i="8"/>
  <c r="BG9" i="8"/>
  <c r="BD9" i="8"/>
  <c r="BF9" i="8"/>
  <c r="BA13" i="8"/>
  <c r="E13" i="17"/>
  <c r="T13" i="20"/>
  <c r="T13" i="16"/>
  <c r="AP13" i="16"/>
  <c r="T18" i="17"/>
  <c r="BG15" i="13"/>
  <c r="J20" i="20"/>
  <c r="M20" i="20"/>
  <c r="K20" i="20"/>
  <c r="Z20" i="20"/>
  <c r="AM20" i="20"/>
  <c r="AK20" i="20"/>
  <c r="W20" i="21"/>
  <c r="F20" i="20"/>
  <c r="AF20" i="20"/>
  <c r="AG20" i="20"/>
  <c r="S20" i="20"/>
  <c r="AJ19" i="8" l="1"/>
  <c r="AR18" i="11"/>
  <c r="AN17" i="11"/>
  <c r="I19" i="8"/>
  <c r="AA19" i="8"/>
  <c r="C19" i="3"/>
  <c r="T13" i="12"/>
  <c r="H13" i="12"/>
  <c r="D17" i="6"/>
  <c r="J17" i="12" s="1"/>
  <c r="BD15" i="8"/>
  <c r="G18" i="2"/>
  <c r="BE16" i="13"/>
  <c r="BF12" i="8"/>
  <c r="AY13" i="8"/>
  <c r="BE9" i="8"/>
  <c r="AC12" i="11"/>
  <c r="BD11" i="13"/>
  <c r="BB13" i="13"/>
  <c r="F11" i="16"/>
  <c r="R8" i="9"/>
  <c r="V10" i="16" s="1"/>
  <c r="L15" i="2"/>
  <c r="BH11" i="11"/>
  <c r="S11" i="14"/>
  <c r="V11" i="14" s="1"/>
  <c r="BV15" i="16"/>
  <c r="BK17" i="11"/>
  <c r="Q10" i="21"/>
  <c r="Q17" i="20"/>
  <c r="Q18" i="20" s="1"/>
  <c r="BF11" i="11"/>
  <c r="BG10" i="11"/>
  <c r="P17" i="17"/>
  <c r="BF16" i="11"/>
  <c r="BL12" i="11"/>
  <c r="BK15" i="11"/>
  <c r="AP10" i="21"/>
  <c r="BH9" i="11"/>
  <c r="BJ11" i="11"/>
  <c r="BI17" i="11"/>
  <c r="BL11" i="11"/>
  <c r="BM15" i="11"/>
  <c r="AZ15" i="11"/>
  <c r="AZ18" i="11" s="1"/>
  <c r="BV17" i="16"/>
  <c r="BV12" i="16"/>
  <c r="BV11" i="16"/>
  <c r="U10" i="17"/>
  <c r="S11" i="17"/>
  <c r="AA17" i="16"/>
  <c r="BG12" i="11"/>
  <c r="BH10" i="11"/>
  <c r="AQ10" i="21"/>
  <c r="BH10" i="16"/>
  <c r="BM17" i="11"/>
  <c r="BH16" i="11"/>
  <c r="BJ16" i="11"/>
  <c r="S10" i="14"/>
  <c r="V10" i="14" s="1"/>
  <c r="R10" i="14"/>
  <c r="R16" i="14"/>
  <c r="AO15" i="17"/>
  <c r="S15" i="14"/>
  <c r="V15" i="14" s="1"/>
  <c r="T17" i="11"/>
  <c r="AA10" i="16"/>
  <c r="AA15" i="16"/>
  <c r="X13" i="20"/>
  <c r="X17" i="20"/>
  <c r="V12" i="21"/>
  <c r="X16" i="20"/>
  <c r="V11" i="16"/>
  <c r="AZ16" i="11"/>
  <c r="X9" i="16"/>
  <c r="X19" i="16" s="1"/>
  <c r="R11" i="14"/>
  <c r="T12" i="11"/>
  <c r="T16" i="11"/>
  <c r="X10" i="17"/>
  <c r="X9" i="17"/>
  <c r="V12" i="16"/>
  <c r="AZ11" i="11"/>
  <c r="L10" i="2"/>
  <c r="L16" i="2"/>
  <c r="X12" i="16"/>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I11" i="7"/>
  <c r="AM16"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AQ20" i="20"/>
  <c r="AZ20" i="20"/>
  <c r="T20" i="21"/>
  <c r="AJ20" i="20"/>
  <c r="Q20" i="20"/>
  <c r="AQ20" i="21"/>
  <c r="AU20" i="20"/>
  <c r="AD20" i="20"/>
  <c r="G18" i="14"/>
  <c r="AL20" i="20"/>
  <c r="AI20" i="20"/>
  <c r="U16" i="11"/>
  <c r="AV20" i="20"/>
  <c r="Y20" i="20"/>
  <c r="O10" i="11"/>
  <c r="U12" i="11"/>
  <c r="U10" i="11"/>
  <c r="AA20" i="20"/>
  <c r="E20" i="20"/>
  <c r="L20" i="20"/>
  <c r="T20" i="20"/>
  <c r="W20" i="20"/>
  <c r="BL9" i="11" l="1"/>
  <c r="V15" i="11"/>
  <c r="BK9" i="11"/>
  <c r="BJ12" i="11"/>
  <c r="BW9" i="20"/>
  <c r="BU17" i="17"/>
  <c r="BL15" i="11"/>
  <c r="BH12" i="16"/>
  <c r="I12" i="12"/>
  <c r="AP16" i="20"/>
  <c r="BJ17" i="11"/>
  <c r="BL17" i="11"/>
  <c r="BK11" i="11"/>
  <c r="S9" i="14"/>
  <c r="V9" i="14" s="1"/>
  <c r="AP15" i="20"/>
  <c r="T17" i="16"/>
  <c r="BW17" i="20"/>
  <c r="BW15" i="20"/>
  <c r="BU16" i="17"/>
  <c r="S15" i="16"/>
  <c r="S18" i="16" s="1"/>
  <c r="BL10" i="11"/>
  <c r="BG16" i="11"/>
  <c r="P16" i="11" s="1"/>
  <c r="BK10" i="11"/>
  <c r="L17" i="2"/>
  <c r="L9" i="2"/>
  <c r="AA9" i="16"/>
  <c r="BH9" i="16"/>
  <c r="BH15" i="16"/>
  <c r="BF10" i="11"/>
  <c r="BI10" i="11"/>
  <c r="BJ15" i="11"/>
  <c r="R17" i="20"/>
  <c r="R18" i="20" s="1"/>
  <c r="BU15" i="17"/>
  <c r="BW16" i="20"/>
  <c r="BV10" i="16"/>
  <c r="S12" i="14"/>
  <c r="V12" i="14" s="1"/>
  <c r="V13" i="14" s="1"/>
  <c r="BF12" i="11"/>
  <c r="BK16" i="11"/>
  <c r="BK18" i="11" s="1"/>
  <c r="BM9" i="11"/>
  <c r="Q9" i="11" s="1"/>
  <c r="U9" i="17"/>
  <c r="U19" i="17" s="1"/>
  <c r="AP18" i="20"/>
  <c r="AO16" i="17"/>
  <c r="V10" i="21"/>
  <c r="AO12" i="17"/>
  <c r="AO9" i="17"/>
  <c r="AM15" i="11"/>
  <c r="AQ13" i="21"/>
  <c r="S16" i="17"/>
  <c r="X10" i="21"/>
  <c r="L12" i="2"/>
  <c r="AZ17" i="11"/>
  <c r="AZ9" i="11"/>
  <c r="AZ19" i="11" s="1"/>
  <c r="V15" i="16"/>
  <c r="X17" i="17"/>
  <c r="X16" i="17"/>
  <c r="T11" i="11"/>
  <c r="R17" i="14"/>
  <c r="V15" i="20"/>
  <c r="V18" i="20" s="1"/>
  <c r="L11" i="2"/>
  <c r="AZ12" i="11"/>
  <c r="V17" i="16"/>
  <c r="AA12" i="21"/>
  <c r="U10" i="21"/>
  <c r="T17" i="20"/>
  <c r="AA11" i="16"/>
  <c r="X12" i="17"/>
  <c r="AA16" i="16"/>
  <c r="T15" i="11"/>
  <c r="T9" i="11"/>
  <c r="AM9" i="11"/>
  <c r="R12" i="14"/>
  <c r="S17" i="14"/>
  <c r="V17" i="14" s="1"/>
  <c r="V18" i="14" s="1"/>
  <c r="BL16" i="11"/>
  <c r="AQ12" i="21"/>
  <c r="BF15" i="11"/>
  <c r="Q15" i="17"/>
  <c r="Q18" i="17" s="1"/>
  <c r="Q19" i="17" s="1"/>
  <c r="S10" i="17"/>
  <c r="BI9" i="11"/>
  <c r="Q17" i="17"/>
  <c r="X15" i="17"/>
  <c r="BU12" i="17"/>
  <c r="BW10" i="20"/>
  <c r="BW11" i="20"/>
  <c r="BW12" i="20"/>
  <c r="BU10" i="17"/>
  <c r="BU11" i="17"/>
  <c r="AP17" i="20"/>
  <c r="BH17" i="11"/>
  <c r="BH18" i="11" s="1"/>
  <c r="BG9" i="11"/>
  <c r="R10" i="21"/>
  <c r="V9" i="11"/>
  <c r="BM12" i="11"/>
  <c r="S9" i="17"/>
  <c r="X11" i="17"/>
  <c r="S17" i="16"/>
  <c r="BF17" i="11"/>
  <c r="BF18" i="11" s="1"/>
  <c r="BM16" i="11"/>
  <c r="BH17" i="16"/>
  <c r="BH11" i="16"/>
  <c r="X12" i="21"/>
  <c r="BH15" i="11"/>
  <c r="BK12" i="11"/>
  <c r="V11" i="11"/>
  <c r="BI15" i="11"/>
  <c r="BG15" i="11"/>
  <c r="T15" i="16"/>
  <c r="BV16" i="16"/>
  <c r="BU9" i="17"/>
  <c r="BV9" i="16"/>
  <c r="P15" i="17"/>
  <c r="P18" i="17" s="1"/>
  <c r="P19" i="17" s="1"/>
  <c r="BJ10" i="11"/>
  <c r="S17" i="17"/>
  <c r="S15" i="17"/>
  <c r="X15" i="16"/>
  <c r="X18" i="16" s="1"/>
  <c r="V9" i="16"/>
  <c r="S16" i="14"/>
  <c r="V16" i="14" s="1"/>
  <c r="I15" i="12"/>
  <c r="H19" i="21"/>
  <c r="AB21" i="21"/>
  <c r="K16" i="12"/>
  <c r="BE13" i="13"/>
  <c r="BA19" i="13"/>
  <c r="BB19" i="16"/>
  <c r="BF18" i="13"/>
  <c r="BC19" i="13"/>
  <c r="BG13" i="13"/>
  <c r="BM19" i="13"/>
  <c r="AD19" i="13"/>
  <c r="AI19" i="13"/>
  <c r="L19" i="13"/>
  <c r="N19" i="13"/>
  <c r="BD10" i="13"/>
  <c r="AK19" i="13"/>
  <c r="Z19" i="13"/>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P12"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G19" i="20"/>
  <c r="E19" i="2"/>
  <c r="AI19" i="11"/>
  <c r="BV13" i="16"/>
  <c r="D19" i="12"/>
  <c r="I17" i="12"/>
  <c r="AY19" i="8"/>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BW21" i="20" l="1"/>
  <c r="G21" i="21"/>
  <c r="P17" i="11"/>
  <c r="R13" i="21"/>
  <c r="R19" i="21" s="1"/>
  <c r="S13" i="14"/>
  <c r="U13" i="17"/>
  <c r="V19" i="20"/>
  <c r="S19" i="16"/>
  <c r="AZ13" i="11"/>
  <c r="BK13" i="11"/>
  <c r="BK19" i="1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Q20" i="16"/>
  <c r="J20" i="17"/>
  <c r="AI20" i="16"/>
  <c r="Q20" i="21"/>
  <c r="AG20" i="11"/>
  <c r="AR20" i="11"/>
  <c r="R20" i="21"/>
  <c r="AY20" i="21"/>
  <c r="R20" i="11"/>
  <c r="V20" i="16"/>
  <c r="Q20" i="17"/>
  <c r="AI20" i="11"/>
  <c r="AZ20" i="16"/>
  <c r="J20" i="11"/>
  <c r="AS20" i="17"/>
  <c r="BH20" i="16"/>
  <c r="BK20" i="16"/>
  <c r="O20" i="11"/>
  <c r="BM20" i="16"/>
  <c r="U20" i="11"/>
  <c r="AJ20" i="21"/>
  <c r="AI20" i="21"/>
  <c r="F20" i="12"/>
  <c r="H20" i="11"/>
  <c r="V20" i="17"/>
  <c r="AW20" i="16"/>
  <c r="AO20" i="21"/>
  <c r="AL20" i="17"/>
  <c r="AD20" i="16"/>
  <c r="O20" i="17"/>
  <c r="AN20" i="11"/>
  <c r="Z20" i="17"/>
  <c r="BN20" i="16"/>
  <c r="AW20" i="21"/>
  <c r="M20" i="17"/>
  <c r="AN20" i="16"/>
  <c r="AJ20" i="11"/>
  <c r="AM20" i="17"/>
  <c r="AQ20" i="11" l="1"/>
  <c r="AP20" i="11"/>
  <c r="AT20" i="2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<sst xmlns="http://schemas.openxmlformats.org/spreadsheetml/2006/main" count="2094" uniqueCount="914">
  <si>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</si>
  <si>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</si>
  <si>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</si>
  <si>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</si>
  <si>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</si>
  <si>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</si>
  <si>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</si>
  <si>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</si>
  <si>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</si>
  <si>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</si>
  <si>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</si>
  <si>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</si>
  <si>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</si>
  <si>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</si>
  <si>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</si>
  <si>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</si>
  <si>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</si>
  <si>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</si>
  <si>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</si>
  <si>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</si>
  <si>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</si>
  <si>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</si>
  <si>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</si>
  <si>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</si>
  <si>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</si>
  <si>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</si>
  <si>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</si>
  <si>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</si>
  <si>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</si>
  <si>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</si>
  <si>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</si>
  <si>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</si>
  <si>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</si>
  <si>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</si>
  <si>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</si>
  <si>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</si>
  <si>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</si>
  <si>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</si>
  <si>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</si>
  <si>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</si>
  <si>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</si>
  <si>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</si>
  <si>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</si>
  <si>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</si>
  <si>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</si>
  <si>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</si>
  <si>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</si>
  <si>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</si>
  <si>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</si>
  <si>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</si>
  <si>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</si>
  <si>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</si>
  <si>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</si>
  <si>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</si>
  <si>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</si>
  <si>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</si>
  <si>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</si>
  <si>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</si>
  <si>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</si>
  <si>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</si>
  <si>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</si>
  <si>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</si>
  <si>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</si>
  <si>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</si>
  <si>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</si>
  <si>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</si>
  <si>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</si>
  <si>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</si>
  <si>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</si>
  <si>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</si>
  <si>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</si>
  <si>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</si>
  <si>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</si>
  <si>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</si>
  <si>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</si>
  <si>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</si>
  <si>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</si>
  <si>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</si>
  <si>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</si>
  <si>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</si>
  <si>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</si>
  <si>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</si>
  <si>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</si>
  <si>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</si>
  <si>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</si>
  <si>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</si>
  <si>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</si>
  <si>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</si>
  <si>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</si>
  <si>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</si>
  <si>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</si>
  <si>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</si>
  <si>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</si>
  <si>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</si>
  <si>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</si>
  <si>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</si>
  <si>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</si>
  <si>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</si>
  <si>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</si>
  <si>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</si>
  <si>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</si>
  <si>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</si>
  <si>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</si>
  <si>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</si>
  <si>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</si>
  <si>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</si>
  <si>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</si>
  <si>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</si>
  <si>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</si>
  <si>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</si>
  <si>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</si>
  <si>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</si>
  <si>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</si>
  <si>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</si>
  <si>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</si>
  <si>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</si>
  <si>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</si>
  <si>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</si>
  <si>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</si>
  <si>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</si>
  <si>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</si>
  <si>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</si>
  <si>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</si>
  <si>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</si>
  <si>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</si>
  <si>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</si>
  <si>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</si>
  <si>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</si>
  <si>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</si>
  <si>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</si>
  <si>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</si>
  <si>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</si>
  <si>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</si>
  <si>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</si>
  <si>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</si>
  <si>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</si>
  <si>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</si>
  <si>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</si>
  <si>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</si>
  <si>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</si>
  <si>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</si>
  <si>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</si>
  <si>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</si>
  <si>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</si>
  <si>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</si>
  <si>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</si>
  <si>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</si>
  <si>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</si>
  <si>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</si>
  <si>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</si>
  <si>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</si>
  <si>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</si>
  <si>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</si>
  <si>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</si>
  <si>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</si>
  <si>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</si>
  <si>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</si>
  <si>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</si>
  <si>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</si>
  <si>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</si>
  <si>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</si>
  <si>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</si>
  <si>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</si>
  <si>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</si>
  <si>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</si>
  <si>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</si>
  <si>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</si>
  <si>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</si>
  <si>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</si>
  <si>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</si>
  <si>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</si>
  <si>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</si>
  <si>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</si>
  <si>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</si>
  <si>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</si>
  <si>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</si>
  <si>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</si>
  <si>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</si>
  <si>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</si>
  <si>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</si>
  <si>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</si>
  <si>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</si>
  <si>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</si>
  <si>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</si>
  <si>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</si>
  <si>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</si>
  <si>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</si>
  <si>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</si>
  <si>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</si>
  <si>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</si>
  <si>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</si>
  <si>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</si>
  <si>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</si>
  <si>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</si>
  <si>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</si>
  <si>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</si>
  <si>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</si>
  <si>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</si>
  <si>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</si>
  <si>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</si>
  <si>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</si>
  <si>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</si>
  <si>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</si>
  <si>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</si>
  <si>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</si>
  <si>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</si>
  <si>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</si>
  <si>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</si>
  <si>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</si>
  <si>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</si>
  <si>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</si>
  <si>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</si>
  <si>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</si>
  <si>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</si>
  <si>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</si>
  <si>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</si>
  <si>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</si>
  <si>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</si>
  <si>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</si>
  <si>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</si>
  <si>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</si>
  <si>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</si>
  <si>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</si>
  <si>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</si>
  <si>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</si>
  <si>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</si>
  <si>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</si>
  <si>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</si>
  <si>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</si>
  <si>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</si>
  <si>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</si>
  <si>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</si>
  <si>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</si>
  <si>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</si>
  <si>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</si>
  <si>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</si>
  <si>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</si>
  <si>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</si>
  <si>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</si>
  <si>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</si>
  <si>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</si>
  <si>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</si>
  <si>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</si>
  <si>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</si>
  <si>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</si>
  <si>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</si>
  <si>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</si>
  <si>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</si>
  <si>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</si>
  <si>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</si>
  <si>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</si>
  <si>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</si>
  <si>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</si>
  <si>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</si>
  <si>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</si>
  <si>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</si>
  <si>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</si>
  <si>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</si>
  <si>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</si>
  <si>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</si>
  <si>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</si>
  <si>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</si>
  <si>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</si>
  <si>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</si>
  <si>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</si>
  <si>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</si>
  <si>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</si>
  <si>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</si>
  <si>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</si>
  <si>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</si>
  <si>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</si>
  <si>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</si>
  <si>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</si>
  <si>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</si>
  <si>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</si>
  <si>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</si>
  <si>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</si>
  <si>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</si>
  <si>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</si>
  <si>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</si>
  <si>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</si>
  <si>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</si>
  <si>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</si>
  <si>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</si>
  <si>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</si>
  <si>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</si>
  <si>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</si>
  <si>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</si>
  <si>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</si>
  <si>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</si>
  <si>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</si>
  <si>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</si>
  <si>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</si>
  <si>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</si>
  <si>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</si>
  <si>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</si>
  <si>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</si>
  <si>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</si>
  <si>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</si>
  <si>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</si>
  <si>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</si>
  <si>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</si>
  <si>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</si>
  <si>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</si>
  <si>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</si>
  <si>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</si>
  <si>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</si>
  <si>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</si>
  <si>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</si>
  <si>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</si>
  <si>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</si>
  <si>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</si>
  <si>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</si>
  <si>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</si>
  <si>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</si>
  <si>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</si>
  <si>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</si>
  <si>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</si>
  <si>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</si>
  <si>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</si>
  <si>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</si>
  <si>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</si>
  <si>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</si>
  <si>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</si>
  <si>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</si>
  <si>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</si>
  <si>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</si>
  <si>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</si>
  <si>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</si>
  <si>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</si>
  <si>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</si>
  <si>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</si>
  <si>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</si>
  <si>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</si>
  <si>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</si>
  <si>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</si>
  <si>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</si>
  <si>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</si>
  <si>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</si>
  <si>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</si>
  <si>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</si>
  <si>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</si>
  <si>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</si>
  <si>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</si>
  <si>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</si>
  <si>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</si>
  <si>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</si>
  <si>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</si>
  <si>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</si>
  <si>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</si>
  <si>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</si>
  <si>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</si>
  <si>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</si>
  <si>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</si>
  <si>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</si>
  <si>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</si>
  <si>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</si>
  <si>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</si>
  <si>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</si>
  <si>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</si>
  <si>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</si>
  <si>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</si>
  <si>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</si>
  <si>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</si>
  <si>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</si>
  <si>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</si>
  <si>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</si>
  <si>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</si>
  <si>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</si>
  <si>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</si>
  <si>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</si>
  <si>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</si>
  <si>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</si>
  <si>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</si>
  <si>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</si>
  <si>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</si>
  <si>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</si>
  <si>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</si>
  <si>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</si>
  <si>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</si>
  <si>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</si>
  <si>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</si>
  <si>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</si>
  <si>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</si>
  <si>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</si>
  <si>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</si>
  <si>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</si>
  <si>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</si>
  <si>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</si>
  <si>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</si>
  <si>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</si>
  <si>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</si>
  <si>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</si>
  <si>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</si>
  <si>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</si>
  <si>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</si>
  <si>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</si>
  <si>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</si>
  <si>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</si>
  <si>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</si>
  <si>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</si>
  <si>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</si>
  <si>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</si>
  <si>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</si>
  <si>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</si>
  <si>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</si>
  <si>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</si>
  <si>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</si>
  <si>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</si>
  <si>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</si>
  <si>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</si>
  <si>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</si>
  <si>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</si>
  <si>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</si>
  <si>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</si>
  <si>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</si>
  <si>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</si>
  <si>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</si>
  <si>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</si>
  <si>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</si>
  <si>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</si>
  <si>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</si>
  <si>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</si>
  <si>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</si>
  <si>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</si>
  <si>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</si>
  <si>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</si>
  <si>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</si>
  <si>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</si>
  <si>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</si>
  <si>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</si>
  <si>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</si>
  <si>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</si>
  <si>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</si>
  <si>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</si>
  <si>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</si>
  <si>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</si>
  <si>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</si>
  <si>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</si>
  <si>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</si>
  <si>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</si>
  <si>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</si>
  <si>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</si>
  <si>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</si>
  <si>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</si>
  <si>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</si>
  <si>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</si>
  <si>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</si>
  <si>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</si>
  <si>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</si>
  <si>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</si>
  <si>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</si>
  <si>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</si>
  <si>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</si>
  <si>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</si>
  <si>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</si>
  <si>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</si>
  <si>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</si>
  <si>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</si>
  <si>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</si>
  <si>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</si>
  <si>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</si>
  <si>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</si>
  <si>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</si>
  <si>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</si>
  <si>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</si>
  <si>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</si>
  <si>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</si>
  <si>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</si>
  <si>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</si>
  <si>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</si>
  <si>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</si>
  <si>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</si>
  <si>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</si>
  <si>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</si>
  <si>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</si>
  <si>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</si>
  <si>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</si>
  <si>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</si>
  <si>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</si>
  <si>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</si>
  <si>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</si>
  <si>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</si>
  <si>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</si>
  <si>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</si>
  <si>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</si>
  <si>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</si>
  <si>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</si>
  <si>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</si>
  <si>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</si>
  <si>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</si>
  <si>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</si>
  <si>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</si>
  <si>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</si>
  <si>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</si>
  <si>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</si>
  <si>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</si>
  <si>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</si>
  <si>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</si>
  <si>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</si>
  <si>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</si>
  <si>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</si>
  <si>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</si>
  <si>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</si>
  <si>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</si>
  <si>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</si>
  <si>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</si>
  <si>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</si>
  <si>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</si>
  <si>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</si>
  <si>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</si>
  <si>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</si>
  <si>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</si>
  <si>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</si>
  <si>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</si>
  <si>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</si>
  <si>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</si>
  <si>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</si>
  <si>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</si>
  <si>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</si>
  <si>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</si>
  <si>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</si>
  <si>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</si>
  <si>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</si>
  <si>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</si>
  <si>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</si>
  <si>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</si>
  <si>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</si>
  <si>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</si>
  <si>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</si>
  <si>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</si>
  <si>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</si>
  <si>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</si>
  <si>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</si>
  <si>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</si>
  <si>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</si>
  <si>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</si>
  <si>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</si>
  <si>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</si>
  <si>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</si>
  <si>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</si>
  <si>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</si>
  <si>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</si>
  <si>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</si>
  <si>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</si>
  <si>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</si>
  <si>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</si>
  <si>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</si>
  <si>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</si>
  <si>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</si>
  <si>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</si>
  <si>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</si>
  <si>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</si>
  <si>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</si>
  <si>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</si>
  <si>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</si>
  <si>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</si>
  <si>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</si>
  <si>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</si>
  <si>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</si>
  <si>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</si>
  <si>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</si>
  <si>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</si>
  <si>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</si>
  <si>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</si>
  <si>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</si>
  <si>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</si>
  <si>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</si>
  <si>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</si>
  <si>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</si>
  <si>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</si>
  <si>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</si>
  <si>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</si>
  <si>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</si>
  <si>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</si>
  <si>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</si>
  <si>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</si>
  <si>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</si>
  <si>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</si>
  <si>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</si>
  <si>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</si>
  <si>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</si>
  <si>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</si>
  <si>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</si>
  <si>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</si>
  <si>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</si>
  <si>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</si>
  <si>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</si>
  <si>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</si>
  <si>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</si>
  <si>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</si>
  <si>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</si>
  <si>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</si>
  <si>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</si>
  <si>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</si>
  <si>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</si>
  <si>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</si>
  <si>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</si>
  <si>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</si>
  <si>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</si>
  <si>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</si>
  <si>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</si>
  <si>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</si>
  <si>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</si>
  <si>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</si>
  <si>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</si>
  <si>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</si>
  <si>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</si>
  <si>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</si>
  <si>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</si>
  <si>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</si>
  <si>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</si>
  <si>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</si>
  <si>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</si>
  <si>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</si>
  <si>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</si>
  <si>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</si>
  <si>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</si>
  <si>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</si>
  <si>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</si>
  <si>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</si>
  <si>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</si>
  <si>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</si>
  <si>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</si>
  <si>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</si>
  <si>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</si>
  <si>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</si>
  <si>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</si>
  <si>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</si>
  <si>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</si>
  <si>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</si>
  <si>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</si>
  <si>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</si>
  <si>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</si>
  <si>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</si>
  <si>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</si>
  <si>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</si>
  <si>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</si>
  <si>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</si>
  <si>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</si>
  <si>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</si>
  <si>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</si>
  <si>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</si>
  <si>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</si>
  <si>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</si>
  <si>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</si>
  <si>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</si>
  <si>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</si>
  <si>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</si>
  <si>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</si>
  <si>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</si>
  <si>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</si>
  <si>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</si>
  <si>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</si>
  <si>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</si>
  <si>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</si>
  <si>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</si>
  <si>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</si>
  <si>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</si>
  <si>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</si>
  <si>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</si>
  <si>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</si>
  <si>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</si>
  <si>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</si>
  <si>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</si>
  <si>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</si>
  <si>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</si>
  <si>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</si>
  <si>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</si>
  <si>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</si>
  <si>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</si>
  <si>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</si>
  <si>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</si>
  <si>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</si>
  <si>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</si>
  <si>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</si>
  <si>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</si>
  <si>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</si>
  <si>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</si>
  <si>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</si>
  <si>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</si>
  <si>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</si>
  <si>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</si>
  <si>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</si>
  <si>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</si>
  <si>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</si>
  <si>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</si>
  <si>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</si>
  <si>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</si>
  <si>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</si>
  <si>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</si>
  <si>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</si>
  <si>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</si>
  <si>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</si>
  <si>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</si>
  <si>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</si>
  <si>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</si>
  <si>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</si>
  <si>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</si>
  <si>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</si>
  <si>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</si>
  <si>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</si>
  <si>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</si>
  <si>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</si>
  <si>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</si>
  <si>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</si>
  <si>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</si>
  <si>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</si>
  <si>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</si>
  <si>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</si>
  <si>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</si>
  <si>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</si>
  <si>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</si>
  <si>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</si>
  <si>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</si>
  <si>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</si>
  <si>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</si>
  <si>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</si>
  <si>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</si>
  <si>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</si>
  <si>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</si>
  <si>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</si>
  <si>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</si>
  <si>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</si>
  <si>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</si>
  <si>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</si>
  <si>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</si>
  <si>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</si>
  <si>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</si>
  <si>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</si>
  <si>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</si>
  <si>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</si>
  <si>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</si>
  <si>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</si>
  <si>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</si>
  <si>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</si>
  <si>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</si>
  <si>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</si>
  <si>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</si>
  <si>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</si>
  <si>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</si>
  <si>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</si>
  <si>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</si>
  <si>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</si>
  <si>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</si>
  <si>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</si>
  <si>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</si>
  <si>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</si>
  <si>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</si>
  <si>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</si>
  <si>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</si>
  <si>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</si>
  <si>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</si>
  <si>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</si>
  <si>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</si>
  <si>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</si>
  <si>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</si>
  <si>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</si>
  <si>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</si>
  <si>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</si>
  <si>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</si>
  <si>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</si>
  <si>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</si>
  <si>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</si>
  <si>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</si>
  <si>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</si>
  <si>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</si>
  <si>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</si>
  <si>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</si>
  <si>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</si>
  <si>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</si>
  <si>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</si>
  <si>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</si>
  <si>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</si>
  <si>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</si>
  <si>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</si>
  <si>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</si>
  <si>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</si>
  <si>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</si>
  <si>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</si>
  <si>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</si>
  <si>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</si>
  <si>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</si>
  <si>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</si>
  <si>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</si>
  <si>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</si>
  <si>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</si>
  <si>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</si>
  <si>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</si>
  <si>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</si>
  <si>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</si>
  <si>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</si>
  <si>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</si>
  <si>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</si>
  <si>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</si>
  <si>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</si>
  <si>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</si>
  <si>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</si>
  <si>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</si>
  <si>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</si>
  <si>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</si>
  <si>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</si>
  <si>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</si>
  <si>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</si>
  <si>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</si>
  <si>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</si>
  <si>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</si>
  <si>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</si>
  <si>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</si>
  <si>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</si>
  <si>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</si>
  <si>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</si>
  <si>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</si>
  <si>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</si>
  <si>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</si>
  <si>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</si>
  <si>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</si>
  <si>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</si>
  <si>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</si>
  <si>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</si>
  <si>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</si>
  <si>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</si>
  <si>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</si>
  <si>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</si>
  <si>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</si>
  <si>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</si>
  <si>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</si>
  <si>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</si>
  <si>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</si>
  <si>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</si>
  <si>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</si>
  <si>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</si>
  <si>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</si>
  <si>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</si>
  <si>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</si>
  <si>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</si>
  <si>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</si>
  <si>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</si>
  <si>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</si>
  <si>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</si>
  <si>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</si>
  <si>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</si>
  <si>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</si>
  <si>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</si>
  <si>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</si>
  <si>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</si>
  <si>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</si>
  <si>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</si>
  <si>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</si>
  <si>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</si>
  <si>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</si>
  <si>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</si>
  <si>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</si>
  <si>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</si>
  <si>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</si>
  <si>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</si>
  <si>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</si>
  <si>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</si>
  <si>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</si>
  <si>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</si>
  <si>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</si>
  <si>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</si>
  <si>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</si>
  <si>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</si>
  <si>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</si>
  <si>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</si>
  <si>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</si>
  <si>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</si>
  <si>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</si>
  <si>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</si>
  <si>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</si>
  <si>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</si>
  <si>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</si>
  <si>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</si>
  <si>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</si>
  <si>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</si>
  <si>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</si>
  <si>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</si>
  <si>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</si>
  <si>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</si>
  <si>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</si>
  <si>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</si>
  <si>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</si>
  <si>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</si>
  <si>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</si>
  <si>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</si>
  <si>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</si>
  <si>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</si>
  <si>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</si>
  <si>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</si>
  <si>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</si>
  <si>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</si>
  <si>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</si>
  <si>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</si>
  <si>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</si>
  <si>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</si>
  <si>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</si>
  <si>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</si>
  <si>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</si>
  <si>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</si>
  <si>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</si>
  <si>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</si>
  <si>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</si>
  <si>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</si>
  <si>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</si>
  <si>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</si>
  <si>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</si>
  <si>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</si>
  <si>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</si>
  <si>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</si>
  <si>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</si>
  <si>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HUELVA</t>
  </si>
  <si>
    <t>Resumenes por Partidos Judiciales</t>
  </si>
  <si>
    <t>MOGUER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</si>
</sst>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wQK4+H0Y0xyeBf3dOpyllHfZaQ4LiGn9N+Tg8oUy6eSZK3uXBbKdYNWQRGBzDQbhqhSvxebCKwAxKRBvzNQ2w==" saltValue="HNgeKiRgFpI25SHcV+Oo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15</v>
      </c>
      <c r="D10" s="228">
        <f>IF(ISNUMBER(Datos!I10),Datos!I10," - ")</f>
        <v>15</v>
      </c>
      <c r="E10" s="229">
        <f>IF(ISNUMBER(Datos!J10),Datos!J10," - ")</f>
        <v>8</v>
      </c>
      <c r="F10" s="229">
        <f>IF(ISNUMBER(Datos!K10),Datos!K10," - ")</f>
        <v>23</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13.75278058645096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v>
      </c>
      <c r="D13" s="1052">
        <f>SUBTOTAL(9,D9:D12)</f>
        <v>15</v>
      </c>
      <c r="E13" s="1053">
        <f>SUBTOTAL(9,E9:E12)</f>
        <v>8</v>
      </c>
      <c r="F13" s="1054">
        <f>SUBTOTAL(9,F9:F12)</f>
        <v>23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1327</v>
      </c>
      <c r="D16" s="228">
        <f>IF(ISNUMBER(IF(D_I="SI",Datos!I16,Datos!I16+Datos!AC16)),IF(D_I="SI",Datos!I16,Datos!I16+Datos!AC16)," - ")</f>
        <v>1327</v>
      </c>
      <c r="E16" s="229">
        <f>IF(ISNUMBER(IF(D_I="SI",Datos!J16,Datos!J16+Datos!AD16)),IF(D_I="SI",Datos!J16,Datos!J16+Datos!AD16)," - ")</f>
        <v>2682</v>
      </c>
      <c r="F16" s="229">
        <f>IF(ISNUMBER(IF(D_I="SI",Datos!K16,Datos!K16+Datos!AE16)),IF(D_I="SI",Datos!K16,Datos!K16+Datos!AE16)," - ")</f>
        <v>2430</v>
      </c>
      <c r="G16" s="1037" t="str">
        <f>IF(Datos!E16&lt;&gt;"",Datos!E16,Datos!D16)</f>
        <v>04</v>
      </c>
      <c r="H16" s="230">
        <f>IF(ISNUMBER(IF(D_I="SI",Datos!L16,Datos!L16+Datos!AF16)),IF(D_I="SI",Datos!L16,Datos!L16+Datos!AF16)," - ")</f>
        <v>1579</v>
      </c>
      <c r="I16" s="1047" t="str">
        <f>IF(ISNUMBER(Datos!AS16/Datos!BM16),Datos!AS16/Datos!BM16," - ")</f>
        <v xml:space="preserve"> - </v>
      </c>
      <c r="J16" s="1048">
        <f>IF(ISNUMBER(Datos!BY16/Datos!CN16),Datos!BY16/Datos!CN16," - ")</f>
        <v>0</v>
      </c>
      <c r="K16" s="233">
        <f t="shared" si="3"/>
        <v>0.18990203466465713</v>
      </c>
      <c r="L16" s="1028">
        <f>IF(ISNUMBER(NºAsuntos!I16/NºAsuntos!G16),(NºAsuntos!I16/NºAsuntos!G16)*11," - ")</f>
        <v>7.147736625514403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37</v>
      </c>
      <c r="D17" s="228">
        <f>IF(ISNUMBER(IF(D_I="SI",Datos!I17,Datos!I17+Datos!AC17)),IF(D_I="SI",Datos!I17,Datos!I17+Datos!AC17)," - ")</f>
        <v>37</v>
      </c>
      <c r="E17" s="229">
        <f>IF(ISNUMBER(IF(D_I="SI",Datos!J17,Datos!J17+Datos!AD17)),IF(D_I="SI",Datos!J17,Datos!J17+Datos!AD17)," - ")</f>
        <v>373</v>
      </c>
      <c r="F17" s="229">
        <f>IF(ISNUMBER(IF(D_I="SI",Datos!K17,Datos!K17+Datos!AE17)),IF(D_I="SI",Datos!K17,Datos!K17+Datos!AE17)," - ")</f>
        <v>315</v>
      </c>
      <c r="G17" s="1037" t="str">
        <f>IF(Datos!E17&lt;&gt;"",Datos!E17,Datos!D17)</f>
        <v>37</v>
      </c>
      <c r="H17" s="230">
        <f>IF(ISNUMBER(IF(D_I="SI",Datos!L17,Datos!L17+Datos!AF17)),IF(D_I="SI",Datos!L17,Datos!L17+Datos!AF17)," - ")</f>
        <v>95</v>
      </c>
      <c r="I17" s="1047" t="str">
        <f>IF(ISNUMBER(Datos!AS17/Datos!BM17),Datos!AS17/Datos!BM17," - ")</f>
        <v xml:space="preserve"> - </v>
      </c>
      <c r="J17" s="1048" t="str">
        <f>IF(ISNUMBER((Datos!BY17+Datos!BZ17)/Datos!CN17),(Datos!BY17+Datos!BZ17)/Datos!CN17," - ")</f>
        <v xml:space="preserve"> - </v>
      </c>
      <c r="K17" s="233">
        <f t="shared" si="3"/>
        <v>1.5675675675675675</v>
      </c>
      <c r="L17" s="1028">
        <f>IF(ISNUMBER(NºAsuntos!I17/NºAsuntos!G17),(NºAsuntos!I17/NºAsuntos!G17)*11," - ")</f>
        <v>3.3174603174603172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1364</v>
      </c>
      <c r="D18" s="1052">
        <f>SUBTOTAL(9,D15:D17)</f>
        <v>1364</v>
      </c>
      <c r="E18" s="1053">
        <f>SUBTOTAL(9,E15:E17)</f>
        <v>3055</v>
      </c>
      <c r="F18" s="1053">
        <f>SUBTOTAL(9,F15:F17)</f>
        <v>2745</v>
      </c>
      <c r="G18" s="1055" t="str">
        <f ca="1">INDIRECT(CONCATENATE("G",ROW()-1))</f>
        <v>37</v>
      </c>
      <c r="H18" s="1056">
        <f ca="1">SUMIF(G$14:G17,G18,H$14:H17)</f>
        <v>95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1379</v>
      </c>
      <c r="D19" s="1074">
        <f>SUBTOTAL(9,D9:D18)</f>
        <v>1379</v>
      </c>
      <c r="E19" s="1075">
        <f>SUBTOTAL(9,E9:E18)</f>
        <v>3063</v>
      </c>
      <c r="F19" s="1075">
        <f>SUBTOTAL(9,F9:F18)</f>
        <v>2768</v>
      </c>
      <c r="G19" s="1076"/>
      <c r="H19" s="1077">
        <f ca="1">SUMIF(B9:B18,"TOTAL",H9:H18)</f>
        <v>95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nbDFJuZpVCQhreZ3DtDYSJNPvEXWaK2KMxsJT0M+QebT1vaFrhaKZ2/jIgKcL6JaAPNjAyqXn1ah4NISDot0g==" saltValue="lrmHND+fwwJzkbbCg1/Ec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Yr3wVJcSYtbJqmqDY9KduiCyw5v0hC9qMP0scVutnVE1+bj9fkNpczU2t/0gd+AuLm8h0ueuYDA+8ym7/fgp2Q==" saltValue="E4DHTv+beHU+Yo0JU1D0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15</v>
      </c>
      <c r="J10" s="184">
        <v>8</v>
      </c>
      <c r="K10" s="184">
        <v>23</v>
      </c>
      <c r="L10" s="184">
        <v>0</v>
      </c>
      <c r="M10" s="184">
        <v>0</v>
      </c>
      <c r="N10" s="184">
        <v>0</v>
      </c>
      <c r="O10" s="184">
        <v>0</v>
      </c>
      <c r="P10" s="184">
        <v>6</v>
      </c>
      <c r="Q10" s="184">
        <v>11</v>
      </c>
      <c r="R10" s="184">
        <v>0</v>
      </c>
      <c r="S10" s="184">
        <v>9</v>
      </c>
      <c r="T10" s="184">
        <v>44</v>
      </c>
      <c r="U10" s="184">
        <v>38</v>
      </c>
      <c r="V10" s="184">
        <v>15</v>
      </c>
      <c r="W10" s="184">
        <v>8</v>
      </c>
      <c r="X10" s="191">
        <v>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9</v>
      </c>
      <c r="AZ10" s="129">
        <f t="shared" si="0"/>
        <v>44</v>
      </c>
      <c r="BA10" s="129">
        <f t="shared" si="0"/>
        <v>38</v>
      </c>
      <c r="BB10" s="129">
        <f t="shared" si="0"/>
        <v>15</v>
      </c>
      <c r="BC10" s="125">
        <f t="shared" si="0"/>
        <v>8</v>
      </c>
      <c r="BD10" s="126">
        <f>IF(ISNUMBER(BA10/AZ10),BA10/AZ10," - ")</f>
        <v>0.86363636363636365</v>
      </c>
      <c r="BE10" s="127">
        <f>IF(ISNUMBER(BB10/BA10),BB10/BA10, " - ")</f>
        <v>0.39473684210526316</v>
      </c>
      <c r="BF10" s="127">
        <f>IF(ISNUMBER(BC10/BA10),BC10/BA10, " - ")</f>
        <v>0.21052631578947367</v>
      </c>
      <c r="BG10" s="199">
        <f>IF(ISNUMBER((AY10+AZ10)/BA10),(AY10+AZ10)/BA10," - ")</f>
        <v>1.3947368421052631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2332</v>
      </c>
      <c r="J12" s="186">
        <v>2002</v>
      </c>
      <c r="K12" s="186">
        <v>1906</v>
      </c>
      <c r="L12" s="186">
        <v>2428</v>
      </c>
      <c r="M12" s="186">
        <v>519</v>
      </c>
      <c r="N12" s="186">
        <v>977</v>
      </c>
      <c r="O12" s="184">
        <v>656</v>
      </c>
      <c r="P12" s="186">
        <v>464</v>
      </c>
      <c r="Q12" s="186">
        <v>278</v>
      </c>
      <c r="R12" s="186">
        <v>2311</v>
      </c>
      <c r="S12" s="186">
        <v>1970</v>
      </c>
      <c r="T12" s="186">
        <v>1885</v>
      </c>
      <c r="U12" s="186">
        <v>1523</v>
      </c>
      <c r="V12" s="186">
        <v>2332</v>
      </c>
      <c r="W12" s="186">
        <v>325</v>
      </c>
      <c r="X12" s="192">
        <v>781</v>
      </c>
      <c r="Y12" s="194">
        <v>54</v>
      </c>
      <c r="Z12" s="184">
        <v>63</v>
      </c>
      <c r="AA12" s="184">
        <v>72</v>
      </c>
      <c r="AB12" s="184">
        <v>45</v>
      </c>
      <c r="AC12" s="186">
        <v>0</v>
      </c>
      <c r="AD12" s="186">
        <v>0</v>
      </c>
      <c r="AE12" s="186">
        <v>0</v>
      </c>
      <c r="AF12" s="192">
        <v>0</v>
      </c>
      <c r="AG12" s="205">
        <v>41</v>
      </c>
      <c r="AH12" s="186">
        <v>96</v>
      </c>
      <c r="AI12" s="186">
        <v>83</v>
      </c>
      <c r="AJ12" s="206">
        <v>54</v>
      </c>
      <c r="AK12" s="185">
        <v>0</v>
      </c>
      <c r="AL12" s="186">
        <v>0</v>
      </c>
      <c r="AM12" s="186">
        <v>0</v>
      </c>
      <c r="AN12" s="192">
        <v>0</v>
      </c>
      <c r="AO12" s="262">
        <v>2</v>
      </c>
      <c r="AP12" s="158">
        <v>2</v>
      </c>
      <c r="AQ12" s="158">
        <v>2</v>
      </c>
      <c r="AR12" s="157">
        <v>2</v>
      </c>
      <c r="AS12" s="343" t="s">
        <v>803</v>
      </c>
      <c r="AT12" s="206"/>
      <c r="AU12" s="205"/>
      <c r="AV12" s="206"/>
      <c r="AW12" s="205"/>
      <c r="AX12" s="206"/>
      <c r="AY12" s="126">
        <f t="shared" si="1"/>
        <v>2011</v>
      </c>
      <c r="AZ12" s="127">
        <f t="shared" si="1"/>
        <v>1981</v>
      </c>
      <c r="BA12" s="127">
        <f t="shared" si="1"/>
        <v>1606</v>
      </c>
      <c r="BB12" s="127">
        <f t="shared" si="1"/>
        <v>2386</v>
      </c>
      <c r="BC12" s="125">
        <f>IF(ISNUMBER(X12),X12," - ")</f>
        <v>781</v>
      </c>
      <c r="BD12" s="126">
        <f t="shared" si="2"/>
        <v>0.81070166582534076</v>
      </c>
      <c r="BE12" s="127">
        <f t="shared" si="3"/>
        <v>1.485678704856787</v>
      </c>
      <c r="BF12" s="127">
        <f t="shared" si="4"/>
        <v>0.4863013698630137</v>
      </c>
      <c r="BG12" s="199">
        <f t="shared" si="5"/>
        <v>2.4856787048567872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2347</v>
      </c>
      <c r="J13" s="187">
        <f t="shared" si="6"/>
        <v>2010</v>
      </c>
      <c r="K13" s="187">
        <f t="shared" si="6"/>
        <v>1929</v>
      </c>
      <c r="L13" s="187">
        <f t="shared" si="6"/>
        <v>2428</v>
      </c>
      <c r="M13" s="187">
        <f t="shared" si="6"/>
        <v>519</v>
      </c>
      <c r="N13" s="187">
        <f t="shared" si="6"/>
        <v>977</v>
      </c>
      <c r="O13" s="187">
        <f t="shared" si="6"/>
        <v>656</v>
      </c>
      <c r="P13" s="187">
        <f t="shared" si="6"/>
        <v>470</v>
      </c>
      <c r="Q13" s="187">
        <f t="shared" si="6"/>
        <v>289</v>
      </c>
      <c r="R13" s="187">
        <f t="shared" si="6"/>
        <v>2311</v>
      </c>
      <c r="S13" s="187">
        <f t="shared" si="6"/>
        <v>1979</v>
      </c>
      <c r="T13" s="187">
        <f t="shared" si="6"/>
        <v>1929</v>
      </c>
      <c r="U13" s="187">
        <f t="shared" si="6"/>
        <v>1561</v>
      </c>
      <c r="V13" s="187">
        <f t="shared" si="6"/>
        <v>2347</v>
      </c>
      <c r="W13" s="187">
        <f t="shared" si="6"/>
        <v>333</v>
      </c>
      <c r="X13" s="187">
        <f t="shared" si="6"/>
        <v>790</v>
      </c>
      <c r="Y13" s="187">
        <f t="shared" si="6"/>
        <v>54</v>
      </c>
      <c r="Z13" s="187">
        <f t="shared" si="6"/>
        <v>63</v>
      </c>
      <c r="AA13" s="187">
        <f t="shared" si="6"/>
        <v>72</v>
      </c>
      <c r="AB13" s="187">
        <f t="shared" si="6"/>
        <v>45</v>
      </c>
      <c r="AC13" s="187">
        <f t="shared" si="6"/>
        <v>0</v>
      </c>
      <c r="AD13" s="187">
        <f t="shared" si="6"/>
        <v>0</v>
      </c>
      <c r="AE13" s="187">
        <f t="shared" si="6"/>
        <v>0</v>
      </c>
      <c r="AF13" s="187">
        <f>SUBTOTAL(9,AF9:AF12)</f>
        <v>0</v>
      </c>
      <c r="AG13" s="187">
        <f t="shared" ref="AG13:AT13" si="7">SUBTOTAL(9,AG8:AG12)</f>
        <v>41</v>
      </c>
      <c r="AH13" s="187">
        <f t="shared" si="7"/>
        <v>96</v>
      </c>
      <c r="AI13" s="187">
        <f t="shared" si="7"/>
        <v>83</v>
      </c>
      <c r="AJ13" s="187">
        <f t="shared" si="7"/>
        <v>54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2020</v>
      </c>
      <c r="AZ13" s="187">
        <f>SUBTOTAL(9,AZ8:AZ12)</f>
        <v>2025</v>
      </c>
      <c r="BA13" s="187">
        <f>SUBTOTAL(9,BA8:BA12)</f>
        <v>1644</v>
      </c>
      <c r="BB13" s="187">
        <f>SUBTOTAL(9,BB8:BB12)</f>
        <v>2401</v>
      </c>
      <c r="BC13" s="187">
        <f>SUBTOTAL(9,BC8:BC12)</f>
        <v>789</v>
      </c>
      <c r="BD13" s="208">
        <f>IF(ISNUMBER(BA13/AZ13),BA13/AZ13," - ")</f>
        <v>0.81185185185185182</v>
      </c>
      <c r="BE13" s="209">
        <f>IF(ISNUMBER(BB13/BA13),BB13/BA13, " - ")</f>
        <v>1.4604622871046229</v>
      </c>
      <c r="BF13" s="209">
        <f>IF(ISNUMBER(BC13/BA13),BC13/BA13, " - ")</f>
        <v>0.47992700729927007</v>
      </c>
      <c r="BG13" s="210">
        <f>IF(ISNUMBER((AY13+AZ13)/BA13),(AY13+AZ13)/BA13," - ")</f>
        <v>2.4604622871046229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1327</v>
      </c>
      <c r="J16" s="186">
        <v>2682</v>
      </c>
      <c r="K16" s="186">
        <v>2430</v>
      </c>
      <c r="L16" s="186">
        <v>1579</v>
      </c>
      <c r="M16" s="186">
        <v>339</v>
      </c>
      <c r="N16" s="186">
        <v>1844</v>
      </c>
      <c r="O16" s="184">
        <v>0</v>
      </c>
      <c r="P16" s="186">
        <v>9</v>
      </c>
      <c r="Q16" s="186">
        <v>23</v>
      </c>
      <c r="R16" s="186">
        <v>73</v>
      </c>
      <c r="S16" s="186">
        <v>895</v>
      </c>
      <c r="T16" s="186">
        <v>2948</v>
      </c>
      <c r="U16" s="186">
        <v>2516</v>
      </c>
      <c r="V16" s="186">
        <v>1327</v>
      </c>
      <c r="W16" s="186">
        <v>454</v>
      </c>
      <c r="X16" s="192">
        <v>1680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895</v>
      </c>
      <c r="AZ16" s="127">
        <f t="shared" si="9"/>
        <v>2948</v>
      </c>
      <c r="BA16" s="127">
        <f t="shared" si="9"/>
        <v>2516</v>
      </c>
      <c r="BB16" s="127">
        <f t="shared" si="9"/>
        <v>1327</v>
      </c>
      <c r="BC16" s="125">
        <f>IF(ISNUMBER(W16),W16," - ")</f>
        <v>454</v>
      </c>
      <c r="BD16" s="126">
        <f t="shared" ref="BD16" si="11">IF(ISNUMBER(BA16/AZ16),BA16/AZ16," - ")</f>
        <v>0.85345997286295794</v>
      </c>
      <c r="BE16" s="127">
        <f t="shared" ref="BE16" si="12">IF(ISNUMBER(BB16/BA16),BB16/BA16, " - ")</f>
        <v>0.52742448330683622</v>
      </c>
      <c r="BF16" s="127">
        <f t="shared" ref="BF16" si="13">IF(ISNUMBER(BC16/BA16),BC16/BA16, " - ")</f>
        <v>0.18044515103338632</v>
      </c>
      <c r="BG16" s="199">
        <f t="shared" si="10"/>
        <v>1.5274244833068362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37</v>
      </c>
      <c r="J17" s="186">
        <v>373</v>
      </c>
      <c r="K17" s="186">
        <v>315</v>
      </c>
      <c r="L17" s="186">
        <v>95</v>
      </c>
      <c r="M17" s="186">
        <v>67</v>
      </c>
      <c r="N17" s="186">
        <v>214</v>
      </c>
      <c r="O17" s="186">
        <v>0</v>
      </c>
      <c r="P17" s="186">
        <v>0</v>
      </c>
      <c r="Q17" s="186">
        <v>2</v>
      </c>
      <c r="R17" s="186">
        <v>0</v>
      </c>
      <c r="S17" s="186">
        <v>59</v>
      </c>
      <c r="T17" s="186">
        <v>453</v>
      </c>
      <c r="U17" s="186">
        <v>475</v>
      </c>
      <c r="V17" s="186">
        <v>37</v>
      </c>
      <c r="W17" s="186">
        <v>76</v>
      </c>
      <c r="X17" s="192">
        <v>324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59</v>
      </c>
      <c r="AZ17" s="129">
        <f t="shared" si="14"/>
        <v>453</v>
      </c>
      <c r="BA17" s="129">
        <f t="shared" si="14"/>
        <v>475</v>
      </c>
      <c r="BB17" s="129">
        <f t="shared" si="14"/>
        <v>37</v>
      </c>
      <c r="BC17" s="125">
        <f>IF(ISNUMBER(W17),W17," - ")</f>
        <v>76</v>
      </c>
      <c r="BD17" s="126">
        <f>IF(ISNUMBER(BA17/AZ17),BA17/AZ17," - ")</f>
        <v>1.0485651214128036</v>
      </c>
      <c r="BE17" s="127">
        <f>IF(ISNUMBER(BB17/BA17),BB17/BA17, " - ")</f>
        <v>7.7894736842105267E-2</v>
      </c>
      <c r="BF17" s="127">
        <f>IF(ISNUMBER(BC17/BA17),BC17/BA17, " - ")</f>
        <v>0.16</v>
      </c>
      <c r="BG17" s="199">
        <f>IF(ISNUMBER((AY17+AZ17)/BA17),(AY17+AZ17)/BA17," - ")</f>
        <v>1.0778947368421052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1364</v>
      </c>
      <c r="J18" s="187">
        <f t="shared" si="15"/>
        <v>3055</v>
      </c>
      <c r="K18" s="187">
        <f t="shared" si="15"/>
        <v>2745</v>
      </c>
      <c r="L18" s="187">
        <f t="shared" si="15"/>
        <v>1674</v>
      </c>
      <c r="M18" s="187">
        <f t="shared" si="15"/>
        <v>406</v>
      </c>
      <c r="N18" s="187">
        <f t="shared" si="15"/>
        <v>2058</v>
      </c>
      <c r="O18" s="187">
        <f t="shared" si="15"/>
        <v>0</v>
      </c>
      <c r="P18" s="187">
        <f t="shared" si="15"/>
        <v>9</v>
      </c>
      <c r="Q18" s="187">
        <f t="shared" si="15"/>
        <v>25</v>
      </c>
      <c r="R18" s="187">
        <f t="shared" si="15"/>
        <v>73</v>
      </c>
      <c r="S18" s="187">
        <f t="shared" si="15"/>
        <v>954</v>
      </c>
      <c r="T18" s="187">
        <f t="shared" si="15"/>
        <v>3401</v>
      </c>
      <c r="U18" s="187">
        <f t="shared" si="15"/>
        <v>2991</v>
      </c>
      <c r="V18" s="187">
        <f t="shared" si="15"/>
        <v>1364</v>
      </c>
      <c r="W18" s="187">
        <f t="shared" si="15"/>
        <v>530</v>
      </c>
      <c r="X18" s="187">
        <f t="shared" si="15"/>
        <v>2004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954</v>
      </c>
      <c r="AZ18" s="187">
        <f>SUBTOTAL(9,AZ14:AZ17)</f>
        <v>3401</v>
      </c>
      <c r="BA18" s="187">
        <f>SUBTOTAL(9,BA14:BA17)</f>
        <v>2991</v>
      </c>
      <c r="BB18" s="187">
        <f>SUBTOTAL(9,BB14:BB17)</f>
        <v>1364</v>
      </c>
      <c r="BC18" s="187">
        <f>SUBTOTAL(9,BC14:BC17)</f>
        <v>530</v>
      </c>
      <c r="BD18" s="208">
        <f>IF(ISNUMBER(BA18/AZ18),BA18/AZ18," - ")</f>
        <v>0.87944722140546894</v>
      </c>
      <c r="BE18" s="209">
        <f>IF(ISNUMBER(BB18/BA18),BB18/BA18, " - ")</f>
        <v>0.45603477097960549</v>
      </c>
      <c r="BF18" s="209">
        <f>IF(ISNUMBER(BC18/BA18),BC18/BA18, " - ")</f>
        <v>0.17719826145101972</v>
      </c>
      <c r="BG18" s="210">
        <f>IF(ISNUMBER((AY18+AZ18)/BA18),(AY18+AZ18)/BA18," - ")</f>
        <v>1.4560347709796055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3711</v>
      </c>
      <c r="J19" s="134">
        <f t="shared" si="18"/>
        <v>5065</v>
      </c>
      <c r="K19" s="134">
        <f t="shared" si="18"/>
        <v>4674</v>
      </c>
      <c r="L19" s="134">
        <f t="shared" si="18"/>
        <v>4102</v>
      </c>
      <c r="M19" s="134">
        <f t="shared" si="18"/>
        <v>925</v>
      </c>
      <c r="N19" s="134">
        <f t="shared" si="18"/>
        <v>3035</v>
      </c>
      <c r="O19" s="134">
        <f t="shared" si="18"/>
        <v>656</v>
      </c>
      <c r="P19" s="134">
        <f t="shared" si="18"/>
        <v>479</v>
      </c>
      <c r="Q19" s="134">
        <f t="shared" si="18"/>
        <v>314</v>
      </c>
      <c r="R19" s="134">
        <f t="shared" si="18"/>
        <v>2384</v>
      </c>
      <c r="S19" s="134">
        <f t="shared" si="18"/>
        <v>2933</v>
      </c>
      <c r="T19" s="134">
        <f t="shared" si="18"/>
        <v>5330</v>
      </c>
      <c r="U19" s="134">
        <f t="shared" si="18"/>
        <v>4552</v>
      </c>
      <c r="V19" s="134">
        <f t="shared" si="18"/>
        <v>3711</v>
      </c>
      <c r="W19" s="134">
        <f t="shared" si="18"/>
        <v>863</v>
      </c>
      <c r="X19" s="134">
        <f t="shared" si="18"/>
        <v>2794</v>
      </c>
      <c r="Y19" s="134">
        <f t="shared" si="18"/>
        <v>54</v>
      </c>
      <c r="Z19" s="134">
        <f t="shared" si="18"/>
        <v>63</v>
      </c>
      <c r="AA19" s="134">
        <f t="shared" si="18"/>
        <v>72</v>
      </c>
      <c r="AB19" s="134">
        <f t="shared" si="18"/>
        <v>45</v>
      </c>
      <c r="AC19" s="134">
        <f t="shared" si="18"/>
        <v>0</v>
      </c>
      <c r="AD19" s="134">
        <f t="shared" si="18"/>
        <v>0</v>
      </c>
      <c r="AE19" s="134">
        <f t="shared" si="18"/>
        <v>0</v>
      </c>
      <c r="AF19" s="134">
        <f t="shared" si="18"/>
        <v>0</v>
      </c>
      <c r="AG19" s="134">
        <f t="shared" si="18"/>
        <v>41</v>
      </c>
      <c r="AH19" s="134">
        <f t="shared" si="18"/>
        <v>96</v>
      </c>
      <c r="AI19" s="134">
        <f t="shared" si="18"/>
        <v>83</v>
      </c>
      <c r="AJ19" s="134">
        <f t="shared" si="18"/>
        <v>54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2974</v>
      </c>
      <c r="AZ19" s="134">
        <f>SUBTOTAL(9,AZ9:AZ18)</f>
        <v>5426</v>
      </c>
      <c r="BA19" s="134">
        <f>SUBTOTAL(9,BA9:BA18)</f>
        <v>4635</v>
      </c>
      <c r="BB19" s="134">
        <f>SUBTOTAL(9,BB9:BB18)</f>
        <v>3765</v>
      </c>
      <c r="BC19" s="135">
        <f>SUBTOTAL(9,BC9:BC18)</f>
        <v>1319</v>
      </c>
      <c r="BD19" s="216">
        <f>IF(ISNUMBER(BA19/AZ19),BA19/AZ19," - ")</f>
        <v>0.85422042019904165</v>
      </c>
      <c r="BE19" s="213">
        <f>IF(ISNUMBER(BB19/BA19),BB19/BA19, " - ")</f>
        <v>0.81229773462783172</v>
      </c>
      <c r="BF19" s="213">
        <f>IF(ISNUMBER(BC19/BA19),BC19/BA19, " - ")</f>
        <v>0.28457389428263213</v>
      </c>
      <c r="BG19" s="135">
        <f>IF(ISNUMBER((AY19+AZ19)/BA19),(AY19+AZ19)/BA19," - ")</f>
        <v>1.8122977346278317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6DuLkYeWq7ibsocWRgzKLK7QfV2fciaoHLo1tzminDQ2PA9fgYIrxvK9EVI8yhiS6lNITKhp8SKMRsCk0fkiA==" saltValue="dzgVLnOj9EuJa4PbboI0g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nfvUfnsKCWpajjRbjgkKlH4iEczHCNlDKDi/0BZI4tFq9NT6X2eSjWr6AZTtKvvGxB+joWVqw4ZBHtAUzVwWg==" saltValue="49H2U5LDYKB5bK/xxZKax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HUELVA  Resumenes por Partidos Judiciales  MOGUER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15</v>
      </c>
      <c r="G10" s="336">
        <f>IF(ISNUMBER(Datos!I10),Datos!I10," - ")</f>
        <v>15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23</v>
      </c>
      <c r="AC10" s="229">
        <f>IF(ISNUMBER(Datos!Q10),Datos!Q10," - ")</f>
        <v>11</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2.875</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63</v>
      </c>
      <c r="O12" s="337"/>
      <c r="P12" s="337"/>
      <c r="Q12" s="229">
        <f>IF(ISNUMBER(Datos!P12),Datos!P12,0)</f>
        <v>464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278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45</v>
      </c>
      <c r="AI12" s="337" t="str">
        <f>IF(ISNUMBER(Datos!CD12),Datos!CD12,"-")</f>
        <v>-</v>
      </c>
      <c r="AJ12" s="337" t="str">
        <f>IF(ISNUMBER(Datos!EN12),Datos!EN12," - ")</f>
        <v xml:space="preserve"> - </v>
      </c>
      <c r="AK12" s="337"/>
      <c r="AL12" s="482"/>
      <c r="AM12" s="338">
        <f>IF(ISNUMBER(Datos!R12),Datos!R12," - ")</f>
        <v>2311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519</v>
      </c>
      <c r="BD12" s="232">
        <f>IF(ISNUMBER(Datos!N12),Datos!N12," - ")</f>
        <v>977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0.95786924939467311</v>
      </c>
      <c r="BH12" s="263">
        <f>IF(ISNUMBER(((IF(J_V="SI",Datos!L12/Datos!K12,(Datos!L12+Datos!AB12)/(Datos!K12+Datos!AA12)))*11)/factor_trimestre),((IF(J_V="SI",Datos!L12/Datos!K12,(Datos!L12+Datos!AB12)/(Datos!K12+Datos!AA12)))*11)/factor_trimestre," - ")</f>
        <v>13.75278058645096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8.7529411764705883E-2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15</v>
      </c>
      <c r="G13" s="901">
        <f t="shared" si="0"/>
        <v>15</v>
      </c>
      <c r="H13" s="902">
        <f t="shared" si="0"/>
        <v>0</v>
      </c>
      <c r="I13" s="901">
        <f t="shared" si="0"/>
        <v>0</v>
      </c>
      <c r="J13" s="870">
        <f t="shared" si="0"/>
        <v>0</v>
      </c>
      <c r="K13" s="870">
        <f t="shared" si="0"/>
        <v>0</v>
      </c>
      <c r="L13" s="902">
        <f t="shared" si="0"/>
        <v>0</v>
      </c>
      <c r="M13" s="902">
        <f t="shared" si="0"/>
        <v>0</v>
      </c>
      <c r="N13" s="902">
        <f t="shared" si="0"/>
        <v>63</v>
      </c>
      <c r="O13" s="903">
        <f t="shared" si="0"/>
        <v>0</v>
      </c>
      <c r="P13" s="903">
        <f t="shared" si="0"/>
        <v>0</v>
      </c>
      <c r="Q13" s="902">
        <f t="shared" si="0"/>
        <v>470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23</v>
      </c>
      <c r="AC13" s="902">
        <f t="shared" si="1"/>
        <v>289</v>
      </c>
      <c r="AD13" s="902">
        <f t="shared" si="1"/>
        <v>0</v>
      </c>
      <c r="AE13" s="902">
        <f t="shared" si="1"/>
        <v>0</v>
      </c>
      <c r="AF13" s="902">
        <f t="shared" si="1"/>
        <v>0</v>
      </c>
      <c r="AG13" s="902">
        <f t="shared" si="1"/>
        <v>0</v>
      </c>
      <c r="AH13" s="902">
        <f t="shared" si="1"/>
        <v>45</v>
      </c>
      <c r="AI13" s="902">
        <f t="shared" si="1"/>
        <v>0</v>
      </c>
      <c r="AJ13" s="902">
        <f t="shared" si="1"/>
        <v>0</v>
      </c>
      <c r="AK13" s="902">
        <f t="shared" si="1"/>
        <v>0</v>
      </c>
      <c r="AL13" s="902">
        <f t="shared" si="1"/>
        <v>0</v>
      </c>
      <c r="AM13" s="902">
        <f t="shared" si="1"/>
        <v>2311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519</v>
      </c>
      <c r="BD13" s="902">
        <f t="shared" si="1"/>
        <v>977</v>
      </c>
      <c r="BE13" s="902">
        <f t="shared" si="1"/>
        <v>0</v>
      </c>
      <c r="BF13" s="902">
        <f t="shared" si="1"/>
        <v>0</v>
      </c>
      <c r="BG13" s="902">
        <f>IF(ISNUMBER(Datos!K13/Datos!J13),Datos!K13/Datos!J13," - ")</f>
        <v>0.95970149253731341</v>
      </c>
      <c r="BH13" s="906">
        <f>IF(ISNUMBER(((Datos!L13/Datos!K13)*11)/factor_trimestre),((Datos!L13/Datos!K13)*11)/factor_trimestre," - ")</f>
        <v>13.84551581130119</v>
      </c>
      <c r="BI13" s="902">
        <f>IF(ISNUMBER('Resol  Asuntos'!D13/NºAsuntos!G13),'Resol  Asuntos'!D13/NºAsuntos!G13," - ")</f>
        <v>0.25937031484257872</v>
      </c>
      <c r="BJ13" s="902" t="str">
        <f>IF(ISNUMBER(Datos!CI13/Datos!CJ13),Datos!CI13/Datos!CJ13," - ")</f>
        <v xml:space="preserve"> - </v>
      </c>
      <c r="BK13" s="902">
        <f>SUBTOTAL(9,BK8:BK12)</f>
        <v>0</v>
      </c>
      <c r="BL13" s="902">
        <f>IF(ISNUMBER((I13-AB13+L13)/(F13)),(I13-AB13+L13)/(F13)," - ")</f>
        <v>-1.5333333333333334</v>
      </c>
      <c r="BM13" s="907">
        <f>SUBTOTAL(9,BM9:BM12)</f>
        <v>-0.91247058823529414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1327</v>
      </c>
      <c r="G16" s="601">
        <f>IF(ISNUMBER(IF(D_I="SI",Datos!I16,Datos!I16+Datos!AC16)),IF(D_I="SI",Datos!I16,Datos!I16+Datos!AC16)," - ")</f>
        <v>1327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2430</v>
      </c>
      <c r="AC16" s="229">
        <f>IF(ISNUMBER(Datos!Q16),Datos!Q16," - ")</f>
        <v>23</v>
      </c>
      <c r="AD16" s="337"/>
      <c r="AE16" s="487"/>
      <c r="AF16" s="599">
        <f>IF(ISNUMBER(IF(D_I="SI",Datos!L16,Datos!L16+Datos!AF16)),IF(D_I="SI",Datos!L16,Datos!L16+Datos!AF16)," - ")</f>
        <v>1579</v>
      </c>
      <c r="AG16" s="337"/>
      <c r="AH16" s="337"/>
      <c r="AI16" s="337"/>
      <c r="AJ16" s="337"/>
      <c r="AK16" s="337"/>
      <c r="AL16" s="482"/>
      <c r="AM16" s="338">
        <f>IF(ISNUMBER(Datos!R16),Datos!R16," - ")</f>
        <v>73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339</v>
      </c>
      <c r="BD16" s="232">
        <f>IF(ISNUMBER(Datos!N16),Datos!N16," - ")</f>
        <v>1844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0.90604026845637586</v>
      </c>
      <c r="BH16" s="263">
        <f>IF(ISNUMBER(((IF(D_I="SI",Datos!L16/Datos!K16,(Datos!L16+Datos!AF16)/(Datos!K16+Datos!AE16)))*11)/factor_trimestre),((IF(D_I="SI",Datos!L16/Datos!K16,(Datos!L16+Datos!AF16)/(Datos!K16+Datos!AE16)))*11)/factor_trimestre," - ")</f>
        <v>7.147736625514403</v>
      </c>
      <c r="BI16" s="246">
        <f>IF(ISNUMBER('Resol  Asuntos'!D16/NºAsuntos!G16),'Resol  Asuntos'!D16/NºAsuntos!G16," - ")</f>
        <v>0.13950617283950617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315</v>
      </c>
      <c r="AC17" s="229">
        <f>IF(ISNUMBER(Datos!Q17),Datos!Q17," - ")</f>
        <v>2</v>
      </c>
      <c r="AD17" s="337"/>
      <c r="AE17" s="487"/>
      <c r="AF17" s="335">
        <f>IF(ISNUMBER(Datos!L17),Datos!L17,"-")</f>
        <v>95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67</v>
      </c>
      <c r="BD17" s="232">
        <f>IF(ISNUMBER(Datos!N17),Datos!N17," - ")</f>
        <v>214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0.84450402144772119</v>
      </c>
      <c r="BH17" s="263">
        <f>IF(ISNUMBER(((IF(D_I="SI",Datos!L17/Datos!K17,(Datos!L17+Datos!AF17)/(Datos!K17+Datos!AE17)))*11)/factor_trimestre),((IF(D_I="SI",Datos!L17/Datos!K17,(Datos!L17+Datos!AF17)/(Datos!K17+Datos!AE17)))*11)/factor_trimestre," - ")</f>
        <v>3.3174603174603172</v>
      </c>
      <c r="BI17" s="246">
        <f>IF(ISNUMBER('Resol  Asuntos'!D17/NºAsuntos!G17),'Resol  Asuntos'!D17/NºAsuntos!G17," - ")</f>
        <v>0.21269841269841269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1327</v>
      </c>
      <c r="G18" s="901">
        <f>SUBTOTAL(9,G15:G17)</f>
        <v>1364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2745</v>
      </c>
      <c r="AC18" s="902">
        <f t="shared" si="4"/>
        <v>25</v>
      </c>
      <c r="AD18" s="902">
        <f t="shared" si="4"/>
        <v>0</v>
      </c>
      <c r="AE18" s="902">
        <f t="shared" si="4"/>
        <v>0</v>
      </c>
      <c r="AF18" s="902">
        <f t="shared" si="4"/>
        <v>1674</v>
      </c>
      <c r="AG18" s="902">
        <f t="shared" si="4"/>
        <v>0</v>
      </c>
      <c r="AH18" s="902">
        <f t="shared" si="4"/>
        <v>0</v>
      </c>
      <c r="AI18" s="902">
        <f t="shared" si="4"/>
        <v>0</v>
      </c>
      <c r="AJ18" s="902">
        <f t="shared" si="4"/>
        <v>0</v>
      </c>
      <c r="AK18" s="902">
        <f t="shared" si="4"/>
        <v>0</v>
      </c>
      <c r="AL18" s="902">
        <f t="shared" si="4"/>
        <v>0</v>
      </c>
      <c r="AM18" s="902">
        <f t="shared" si="4"/>
        <v>73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406</v>
      </c>
      <c r="BD18" s="902">
        <f t="shared" si="4"/>
        <v>2058</v>
      </c>
      <c r="BE18" s="902">
        <f t="shared" si="4"/>
        <v>0</v>
      </c>
      <c r="BF18" s="902">
        <f t="shared" si="4"/>
        <v>0</v>
      </c>
      <c r="BG18" s="902">
        <f>IF(ISNUMBER(Datos!K18/Datos!J18),Datos!K18/Datos!J18," - ")</f>
        <v>0.89852700490998361</v>
      </c>
      <c r="BH18" s="906">
        <f>IF(ISNUMBER(((Datos!L18/Datos!K18)*11)/factor_trimestre),((Datos!L18/Datos!K18)*11)/factor_trimestre," - ")</f>
        <v>6.7081967213114755</v>
      </c>
      <c r="BI18" s="902">
        <f>SUBTOTAL(9,BI15:BI17)</f>
        <v>0.35220458553791889</v>
      </c>
      <c r="BJ18" s="902">
        <f>SUBTOTAL(9,BJ15:BJ17)</f>
        <v>0</v>
      </c>
      <c r="BK18" s="902">
        <f>SUBTOTAL(9,BK15:BK17)</f>
        <v>0</v>
      </c>
      <c r="BL18" s="902">
        <f>IF(ISNUMBER((I18-AB18+L18)/(F18)),(I18-AB18+L18)/(F18)," - ")</f>
        <v>-2.0685757347400151</v>
      </c>
      <c r="BM18" s="908">
        <f>IF(ISNUMBER((Datos!P18-Datos!Q18)/(Datos!R18-Datos!P18+Datos!Q18)),(Datos!P18-Datos!Q18)/(Datos!R18-Datos!P18+Datos!Q18)," - ")</f>
        <v>-0.1797752808988764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1342</v>
      </c>
      <c r="G19" s="823">
        <f t="shared" si="6"/>
        <v>1379</v>
      </c>
      <c r="H19" s="825">
        <f t="shared" si="6"/>
        <v>0</v>
      </c>
      <c r="I19" s="823">
        <f t="shared" si="6"/>
        <v>0</v>
      </c>
      <c r="J19" s="825">
        <f t="shared" si="6"/>
        <v>0</v>
      </c>
      <c r="K19" s="825">
        <f t="shared" si="6"/>
        <v>0</v>
      </c>
      <c r="L19" s="884">
        <f t="shared" si="6"/>
        <v>0</v>
      </c>
      <c r="M19" s="884">
        <f t="shared" si="6"/>
        <v>0</v>
      </c>
      <c r="N19" s="884">
        <f t="shared" si="6"/>
        <v>63</v>
      </c>
      <c r="O19" s="884">
        <f t="shared" si="6"/>
        <v>0</v>
      </c>
      <c r="P19" s="884">
        <f t="shared" si="6"/>
        <v>0</v>
      </c>
      <c r="Q19" s="825">
        <f t="shared" si="6"/>
        <v>479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2768</v>
      </c>
      <c r="AC19" s="824">
        <f t="shared" si="7"/>
        <v>314</v>
      </c>
      <c r="AD19" s="824">
        <f t="shared" si="7"/>
        <v>0</v>
      </c>
      <c r="AE19" s="824">
        <f t="shared" si="7"/>
        <v>0</v>
      </c>
      <c r="AF19" s="831">
        <f t="shared" si="7"/>
        <v>1674</v>
      </c>
      <c r="AG19" s="831">
        <f t="shared" si="7"/>
        <v>0</v>
      </c>
      <c r="AH19" s="831">
        <f t="shared" si="7"/>
        <v>45</v>
      </c>
      <c r="AI19" s="831">
        <f t="shared" si="7"/>
        <v>0</v>
      </c>
      <c r="AJ19" s="824">
        <f t="shared" si="7"/>
        <v>0</v>
      </c>
      <c r="AK19" s="831">
        <f t="shared" si="7"/>
        <v>0</v>
      </c>
      <c r="AL19" s="831">
        <f t="shared" si="7"/>
        <v>0</v>
      </c>
      <c r="AM19" s="831">
        <f t="shared" si="7"/>
        <v>2384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925</v>
      </c>
      <c r="BD19" s="823">
        <f t="shared" si="7"/>
        <v>3035</v>
      </c>
      <c r="BE19" s="823">
        <f t="shared" si="7"/>
        <v>0</v>
      </c>
      <c r="BF19" s="833">
        <f t="shared" si="7"/>
        <v>0</v>
      </c>
      <c r="BG19" s="918">
        <f>IF(ISNUMBER(Datos!K19/Datos!J19),Datos!K19/Datos!J19," - ")</f>
        <v>0.92280355380059231</v>
      </c>
      <c r="BH19" s="918">
        <f>IF(ISNUMBER(((Datos!L19/Datos!K19)*11)/factor_trimestre),((Datos!L19/Datos!K19)*11)/factor_trimestre," - ")</f>
        <v>9.6538296961916981</v>
      </c>
      <c r="BI19" s="816">
        <f>IF(ISNUMBER(Datos!J19/Datos!I19),Datos!J19/Datos!I19," - ")</f>
        <v>1.3648612233899218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-2.0625931445603576</v>
      </c>
      <c r="BM19" s="892">
        <f>IF(ISNUMBER((Datos!P19-Datos!Q19+R19)/(Datos!R19-Datos!P19+Datos!Q19-R19)),(Datos!P19-Datos!Q19+R19)/(Datos!R19-Datos!P19+Datos!Q19-R19)," - ")</f>
        <v>7.4357818837314099E-2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551.6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757.48355317678897</v>
      </c>
      <c r="G21" s="555">
        <f>IF(ISNUMBER(STDEV(G8:G18)),STDEV(G8:G18),"-")</f>
        <v>724.90192440081159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1361.134526782713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224.74489241508178</v>
      </c>
      <c r="BD21" s="554"/>
      <c r="BE21" s="554">
        <f>IF(ISNUMBER(STDEV(BE8:BE18)),STDEV(BE8:BE18),"-")</f>
        <v>0</v>
      </c>
      <c r="BF21" s="559">
        <f>IF(ISNUMBER(STDEV(BF8:BF18)),STDEV(BF8:BF18),"-")</f>
        <v>0</v>
      </c>
      <c r="BG21" s="778">
        <f>IF(ISNUMBER(STDEV(BG8:BG18)),STDEV(BG8:BG18),"-")</f>
        <v>0.80198996777536002</v>
      </c>
      <c r="BH21" s="779">
        <f>IF(ISNUMBER(STDEV(BH8:BH18)),STDEV(BH8:BH18),"-")</f>
        <v>5.5470501803326275</v>
      </c>
      <c r="BI21" s="252">
        <f>IF(ISNUMBER(STDEV(BI8:BI18)),STDEV(BI8:BI18),"-")</f>
        <v>8.9080287664058566E-2</v>
      </c>
      <c r="BJ21" s="233" t="str">
        <f>IF(ISNUMBER(BL21/BM21),BL21/BM21," - ")</f>
        <v xml:space="preserve"> - </v>
      </c>
      <c r="BK21" s="578"/>
      <c r="BL21" s="562">
        <f>IF(ISNUMBER(STDEV(BL8:BL18)),STDEV(BL8:BL18),"-")</f>
        <v>0.3784735316132356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ynur9SX8o/MHRDFa+lIEzwXpRTklpGj1ECHM81WbnHwpaFksTm0lXOJrdz5I2byf0yNaanwXGMPIl/8lADZNw==" saltValue="54U27IZ/1JtT20w6dOYp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HUELVA  Resumenes por Partidos Judiciales  MOGUER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15</v>
      </c>
      <c r="G10" s="228">
        <f>IF(ISNUMBER(Datos!I10),Datos!I10," - ")</f>
        <v>15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23</v>
      </c>
      <c r="Z10" s="622">
        <f>IF(ISNUMBER(Datos!Q10),Datos!Q10," - ")</f>
        <v>11</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464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278</v>
      </c>
      <c r="AA12" s="335" t="str">
        <f>IF(ISNUMBER(IF(J_V="SI",Datos!L12,Datos!L12+Datos!AB12)-IF(Monitorios="SI",Datos!CD12,0)),
                          IF(J_V="SI",Datos!L12,Datos!L12+Datos!AB12)-IF(Monitorios="SI",Datos!CD12,0),
                          " - ")</f>
        <v xml:space="preserve"> - </v>
      </c>
      <c r="AB12" s="337"/>
      <c r="AC12" s="337"/>
      <c r="AD12" s="487"/>
      <c r="AE12" s="487">
        <f>IF(ISNUMBER(Datos!R12),Datos!R12," - ")</f>
        <v>2311</v>
      </c>
      <c r="AF12" s="232" t="str">
        <f>IF(ISNUMBER(Datos!BV12),Datos!BV12," - ")</f>
        <v xml:space="preserve"> - </v>
      </c>
      <c r="AG12" s="228" t="str">
        <f>IF(ISNUMBER(Datos!DV12),Datos!DV12," - ")</f>
        <v xml:space="preserve"> - </v>
      </c>
      <c r="AH12" s="301"/>
      <c r="AI12" s="230"/>
      <c r="AJ12" s="228">
        <f>IF(ISNUMBER(Datos!M12),Datos!M12," - ")</f>
        <v>519</v>
      </c>
      <c r="AK12" s="232">
        <f>IF(ISNUMBER(Datos!N12),Datos!N12," - ")</f>
        <v>977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13.75278058645096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8.7529411764705883E-2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15</v>
      </c>
      <c r="G13" s="901">
        <f>SUBTOTAL(9,G8:G12)</f>
        <v>15</v>
      </c>
      <c r="H13" s="911"/>
      <c r="I13" s="901">
        <f t="shared" ref="I13:N13" si="0">SUBTOTAL(9,I8:I12)</f>
        <v>0</v>
      </c>
      <c r="J13" s="870">
        <f t="shared" si="0"/>
        <v>0</v>
      </c>
      <c r="K13" s="911">
        <f t="shared" si="0"/>
        <v>0</v>
      </c>
      <c r="L13" s="911">
        <f t="shared" si="0"/>
        <v>0</v>
      </c>
      <c r="M13" s="911">
        <f t="shared" si="0"/>
        <v>0</v>
      </c>
      <c r="N13" s="911">
        <f t="shared" si="0"/>
        <v>470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23</v>
      </c>
      <c r="Z13" s="910">
        <f t="shared" si="2"/>
        <v>289</v>
      </c>
      <c r="AA13" s="903">
        <f t="shared" si="2"/>
        <v>0</v>
      </c>
      <c r="AB13" s="903">
        <f t="shared" si="2"/>
        <v>0</v>
      </c>
      <c r="AC13" s="903">
        <f t="shared" si="2"/>
        <v>0</v>
      </c>
      <c r="AD13" s="903">
        <f t="shared" si="2"/>
        <v>0</v>
      </c>
      <c r="AE13" s="903">
        <f t="shared" si="2"/>
        <v>2311</v>
      </c>
      <c r="AF13" s="911">
        <f t="shared" si="2"/>
        <v>0</v>
      </c>
      <c r="AG13" s="911">
        <f t="shared" si="2"/>
        <v>0</v>
      </c>
      <c r="AH13" s="911">
        <f t="shared" si="2"/>
        <v>0</v>
      </c>
      <c r="AI13" s="911">
        <f t="shared" si="2"/>
        <v>0</v>
      </c>
      <c r="AJ13" s="911">
        <f t="shared" si="2"/>
        <v>519</v>
      </c>
      <c r="AK13" s="911">
        <f t="shared" si="2"/>
        <v>977</v>
      </c>
      <c r="AL13" s="911">
        <f t="shared" si="2"/>
        <v>0</v>
      </c>
      <c r="AM13" s="911">
        <f t="shared" si="2"/>
        <v>0</v>
      </c>
      <c r="AN13" s="911">
        <f t="shared" si="2"/>
        <v>0</v>
      </c>
      <c r="AO13" s="907">
        <f>IF(ISNUMBER(((NºAsuntos!I13/NºAsuntos!G13)*11)/factor_trimestre),((NºAsuntos!I13/NºAsuntos!G13)*11)/factor_trimestre," - ")</f>
        <v>13.594702648675664</v>
      </c>
      <c r="AP13" s="913" t="str">
        <f>IF(ISNUMBER(Datos!CI13/Datos!CJ13),Datos!CI13/Datos!CJ13," - ")</f>
        <v xml:space="preserve"> - </v>
      </c>
      <c r="AQ13" s="931">
        <f t="shared" ref="AQ13:AV13" si="3">SUBTOTAL(9,AQ9:AQ12)</f>
        <v>0</v>
      </c>
      <c r="AR13" s="931">
        <f t="shared" si="3"/>
        <v>-0.91247058823529414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1327</v>
      </c>
      <c r="G16" s="228">
        <f>IF(ISNUMBER(IF(D_I="SI",Datos!I16,Datos!I16+Datos!AC16)),IF(D_I="SI",Datos!I16,Datos!I16+Datos!AC16)," - ")</f>
        <v>1327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2430</v>
      </c>
      <c r="Z16" s="622">
        <f>IF(ISNUMBER(Datos!Q16),Datos!Q16," - ")</f>
        <v>23</v>
      </c>
      <c r="AA16" s="335">
        <f>IF(ISNUMBER(IF(D_I="SI",Datos!L16,Datos!L16+Datos!AF16)),IF(D_I="SI",Datos!L16,Datos!L16+Datos!AF16)," - ")</f>
        <v>1579</v>
      </c>
      <c r="AB16" s="337"/>
      <c r="AC16" s="337"/>
      <c r="AD16" s="487"/>
      <c r="AE16" s="487">
        <f>IF(ISNUMBER(Datos!R16),Datos!R16," - ")</f>
        <v>73</v>
      </c>
      <c r="AF16" s="232" t="str">
        <f>IF(ISNUMBER(Datos!BV16),Datos!BV16," - ")</f>
        <v xml:space="preserve"> - </v>
      </c>
      <c r="AG16" s="228"/>
      <c r="AH16" s="301"/>
      <c r="AI16" s="230"/>
      <c r="AJ16" s="228">
        <f>IF(ISNUMBER(Datos!M16),Datos!M16," - ")</f>
        <v>339</v>
      </c>
      <c r="AK16" s="232">
        <f>IF(ISNUMBER(Datos!N16),Datos!N16," - ")</f>
        <v>1844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7.147736625514403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315</v>
      </c>
      <c r="Z17" s="622">
        <f>IF(ISNUMBER(Datos!Q17),Datos!Q17," - ")</f>
        <v>2</v>
      </c>
      <c r="AA17" s="335">
        <f>IF(ISNUMBER(Datos!L17),Datos!L17,"-")</f>
        <v>95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67</v>
      </c>
      <c r="AK17" s="232">
        <f>IF(ISNUMBER(Datos!N17),Datos!N17," - ")</f>
        <v>214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3.3174603174603172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1327</v>
      </c>
      <c r="G18" s="901">
        <f>SUBTOTAL(9,G15:G17)</f>
        <v>1364</v>
      </c>
      <c r="H18" s="935">
        <f>SUBTOTAL(9,H15:H17)</f>
        <v>0</v>
      </c>
      <c r="I18" s="914">
        <f>SUBTOTAL(9,I15:I17)</f>
        <v>0</v>
      </c>
      <c r="J18" s="870">
        <f>SUBTOTAL(9,J14:J17)</f>
        <v>0</v>
      </c>
      <c r="K18" s="935">
        <f t="shared" ref="K18:S18" si="4">SUBTOTAL(9,K15:K17)</f>
        <v>0</v>
      </c>
      <c r="L18" s="935">
        <f t="shared" si="4"/>
        <v>0</v>
      </c>
      <c r="M18" s="935">
        <f t="shared" si="4"/>
        <v>0</v>
      </c>
      <c r="N18" s="935">
        <f t="shared" si="4"/>
        <v>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2745</v>
      </c>
      <c r="Z18" s="935">
        <f t="shared" si="5"/>
        <v>25</v>
      </c>
      <c r="AA18" s="935">
        <f t="shared" si="5"/>
        <v>1674</v>
      </c>
      <c r="AB18" s="935">
        <f t="shared" si="5"/>
        <v>0</v>
      </c>
      <c r="AC18" s="935">
        <f t="shared" si="5"/>
        <v>0</v>
      </c>
      <c r="AD18" s="935">
        <f t="shared" si="5"/>
        <v>0</v>
      </c>
      <c r="AE18" s="935">
        <f t="shared" si="5"/>
        <v>73</v>
      </c>
      <c r="AF18" s="935">
        <f t="shared" si="5"/>
        <v>0</v>
      </c>
      <c r="AG18" s="935">
        <f t="shared" si="5"/>
        <v>0</v>
      </c>
      <c r="AH18" s="935">
        <f t="shared" si="5"/>
        <v>0</v>
      </c>
      <c r="AI18" s="935">
        <f t="shared" si="5"/>
        <v>0</v>
      </c>
      <c r="AJ18" s="935">
        <f t="shared" si="5"/>
        <v>406</v>
      </c>
      <c r="AK18" s="935">
        <f t="shared" si="5"/>
        <v>2058</v>
      </c>
      <c r="AL18" s="935">
        <f t="shared" si="5"/>
        <v>0</v>
      </c>
      <c r="AM18" s="935">
        <f t="shared" si="5"/>
        <v>0</v>
      </c>
      <c r="AN18" s="935">
        <f t="shared" si="5"/>
        <v>0</v>
      </c>
      <c r="AO18" s="937">
        <f>IF(ISNUMBER(((NºAsuntos!I18/NºAsuntos!G18)*11)/factor_trimestre),((NºAsuntos!I18/NºAsuntos!G18)*11)/factor_trimestre," - ")</f>
        <v>6.7081967213114755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1342</v>
      </c>
      <c r="G19" s="823">
        <f t="shared" si="7"/>
        <v>1379</v>
      </c>
      <c r="H19" s="824">
        <f t="shared" si="7"/>
        <v>0</v>
      </c>
      <c r="I19" s="823">
        <f t="shared" si="7"/>
        <v>0</v>
      </c>
      <c r="J19" s="825">
        <f t="shared" si="7"/>
        <v>0</v>
      </c>
      <c r="K19" s="823">
        <f t="shared" si="7"/>
        <v>0</v>
      </c>
      <c r="L19" s="826">
        <f t="shared" si="7"/>
        <v>0</v>
      </c>
      <c r="M19" s="823">
        <f t="shared" si="7"/>
        <v>0</v>
      </c>
      <c r="N19" s="824">
        <f t="shared" si="7"/>
        <v>479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2768</v>
      </c>
      <c r="Z19" s="830">
        <f t="shared" si="8"/>
        <v>314</v>
      </c>
      <c r="AA19" s="831">
        <f t="shared" si="8"/>
        <v>1674</v>
      </c>
      <c r="AB19" s="831">
        <f t="shared" si="8"/>
        <v>0</v>
      </c>
      <c r="AC19" s="831">
        <f t="shared" si="8"/>
        <v>0</v>
      </c>
      <c r="AD19" s="832">
        <f t="shared" si="8"/>
        <v>0</v>
      </c>
      <c r="AE19" s="832">
        <f t="shared" si="8"/>
        <v>2384</v>
      </c>
      <c r="AF19" s="833">
        <f t="shared" si="8"/>
        <v>0</v>
      </c>
      <c r="AG19" s="834">
        <f t="shared" si="8"/>
        <v>0</v>
      </c>
      <c r="AH19" s="835">
        <f t="shared" si="8"/>
        <v>0</v>
      </c>
      <c r="AI19" s="833">
        <f t="shared" si="8"/>
        <v>0</v>
      </c>
      <c r="AJ19" s="823">
        <f t="shared" si="8"/>
        <v>925</v>
      </c>
      <c r="AK19" s="823">
        <f t="shared" si="8"/>
        <v>3035</v>
      </c>
      <c r="AL19" s="823">
        <f t="shared" si="8"/>
        <v>0</v>
      </c>
      <c r="AM19" s="836">
        <f t="shared" si="8"/>
        <v>0</v>
      </c>
      <c r="AN19" s="826">
        <f>IF(ISNUMBER(Datos!K19/Datos!J19),Datos!K19/Datos!J19," - ")</f>
        <v>0.92280355380059231</v>
      </c>
      <c r="AO19" s="826">
        <f>IF(ISNUMBER(FIND("06",Criterios!A8,1)),(IF(ISNUMBER(((Datos!R19/Datos!Q19)*11)/factor_trimestre),((Datos!R19/Datos!Q19)*11)/factor_trimestre," - ")),(IF(ISNUMBER(((Datos!L19/Datos!K19)*11)/factor_trimestre),((Datos!L19/Datos!K19)*11)/factor_trimestre," - ")))</f>
        <v>9.6538296961916981</v>
      </c>
      <c r="AP19" s="837" t="str">
        <f>IF(ISNUMBER(Datos!CI19/Datos!CJ19),Datos!CI19/Datos!CJ19," - ")</f>
        <v xml:space="preserve"> - </v>
      </c>
      <c r="AQ19" s="837">
        <f>IF(OR(ISNUMBER(FIND("01",Criterios!A8,1)),ISNUMBER(FIND("02",Criterios!A8,1)),ISNUMBER(FIND("03",Criterios!A8,1)),ISNUMBER(FIND("04",Criterios!A8,1))),(J19-Y19+K19)/(F19-K19),(I19-Y19+K19)/(F19-K19))</f>
        <v>-2.0625931445603576</v>
      </c>
      <c r="AR19" s="837">
        <f>IF(ISNUMBER((Datos!P19-Datos!Q19+O19)/(Datos!R19-Datos!P19+Datos!Q19-O19)),(Datos!P19-Datos!Q19+O19)/(Datos!R19-Datos!P19+Datos!Q19-O19)," - ")</f>
        <v>7.4357818837314099E-2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551.6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757.48355317678897</v>
      </c>
      <c r="G21" s="555">
        <f>IF(ISNUMBER(STDEV(G8:G18)),STDEV(G8:G18),"-")</f>
        <v>724.90192440081159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224.74489241508178</v>
      </c>
      <c r="AK21" s="255"/>
      <c r="AL21" s="255">
        <f>IF(ISNUMBER(STDEV(AL8:AL18)),STDEV(AL8:AL18),"-")</f>
        <v>0</v>
      </c>
      <c r="AM21" s="257">
        <f>IF(ISNUMBER(STDEV(AM8:AM18)),STDEV(AM8:AM18),"-")</f>
        <v>0</v>
      </c>
      <c r="AN21" s="542">
        <f>IF(ISNUMBER(STDEV(AN8:AN18)),STDEV(AN8:AN18),"-")</f>
        <v>0</v>
      </c>
      <c r="AO21" s="543">
        <f>IF(ISNUMBER(STDEV(AO8:AO18)),STDEV(AO8:AO18),"-")</f>
        <v>5.489974239046747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KW5EhSfTz7qSOrHZjbveoAS4QYCIqngbKDiD0I5cF49SAc3EiFWQh4XkCcQX3BISglP+RjK71lB8moMF1m7ufw==" saltValue="SGKVLrfiKBBH89wLulBH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A67j80TThRhFg52rdL+LSzrBQpYx8X5wOOm/kZ7X9pWJT/hC3iUrAoNzGe7duOoCbo9u2mRhlH8bwpYIqMiAWg==" saltValue="GY/I8NBO7OsKJFqCvngq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FEjE+/EkRub1D/a63WtrDr/dMV4bZB6LyNWg1p/4aFO+NyZmWPBn/TMnT67J2q+MMGdC5cAjOYCq4/oBXmC/w==" saltValue="uWJowYY927jHWxWbgiOmp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HUELVA  Resumenes por Partidos Judiciales  MOGUER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0.25937031484257872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0.18340250846367726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HLHjnyRsnkg6pGXA7o92e4XYXEbzRz8obZq5QMymG3TzsZRDoXujaNxbROn6FDS7D+vLPohSimfj/0ZinxmkQ==" saltValue="nmNcHl2So95dzEPh8w16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JJzEOs5GYjTu03ul1w10NR/AqUnOdOqe4qo2C6PsoYgSMbxPWm5cC7++VlWnVXvv4BiH0lNRp73bq0okLuEd4w==" saltValue="XZvDi5gkdR3ahxIg5DR0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HUELVA</v>
      </c>
      <c r="D3" s="378"/>
      <c r="E3" s="378"/>
      <c r="F3" s="378"/>
    </row>
    <row r="4" spans="1:14" ht="13.5" thickBot="1">
      <c r="A4" s="378"/>
      <c r="B4" s="394" t="str">
        <f>Criterios!A11 &amp;"  "&amp;Criterios!B11</f>
        <v>Resumenes por Partidos Judiciales  MOGUER</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15</v>
      </c>
      <c r="D10" s="407">
        <f>IF(ISNUMBER(C10/Datos!BH10),C10/Datos!BH10," - ")</f>
        <v>15</v>
      </c>
      <c r="E10" s="406">
        <f>IF(ISNUMBER(Datos!J10),Datos!J10," - ")</f>
        <v>8</v>
      </c>
      <c r="F10" s="407">
        <f>IF(ISNUMBER(E10/B10),E10/B10," - ")</f>
        <v>8</v>
      </c>
      <c r="G10" s="406">
        <f>IF(ISNUMBER(Datos!K10),Datos!K10," - ")</f>
        <v>23</v>
      </c>
      <c r="H10" s="407">
        <f>IF(ISNUMBER(G10/B10),G10/B10," - ")</f>
        <v>23</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2386</v>
      </c>
      <c r="D12" s="407">
        <f>IF(ISNUMBER(C12/Datos!BH12),C12/Datos!BH12," - ")</f>
        <v>1193</v>
      </c>
      <c r="E12" s="406">
        <f>IF(ISNUMBER(IF(J_V="SI",Datos!J12,Datos!J12+Datos!Z12)),IF(J_V="SI",Datos!J12,Datos!J12+Datos!Z12)," - ")</f>
        <v>2065</v>
      </c>
      <c r="F12" s="407">
        <f>IF(ISNUMBER(E12/B12),E12/B12," - ")</f>
        <v>1032.5</v>
      </c>
      <c r="G12" s="406">
        <f>IF(ISNUMBER(IF(J_V="SI",Datos!K12,Datos!K12+Datos!AA12)),IF(J_V="SI",Datos!K12,Datos!K12+Datos!AA12)," - ")</f>
        <v>1978</v>
      </c>
      <c r="H12" s="407">
        <f>IF(ISNUMBER(G12/B12),G12/B12," - ")</f>
        <v>989</v>
      </c>
      <c r="I12" s="406">
        <f>IF(ISNUMBER(IF(J_V="SI",Datos!L12,Datos!L12+Datos!AB12)),IF(J_V="SI",Datos!L12,Datos!L12+Datos!AB12)," - ")</f>
        <v>2473</v>
      </c>
      <c r="J12" s="407">
        <f>IF(ISNUMBER(I12/B12),I12/B12," - ")</f>
        <v>1236.5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2401</v>
      </c>
      <c r="D13" s="853" t="str">
        <f>IF(ISNUMBER(C13/Datos!BI13),C13/Datos!BI13," - ")</f>
        <v xml:space="preserve"> - </v>
      </c>
      <c r="E13" s="852">
        <f>SUBTOTAL(9,E8:E12)</f>
        <v>2073</v>
      </c>
      <c r="F13" s="853">
        <f>IF(ISNUMBER(E13/B13),E13/B13," - ")</f>
        <v>1036.5</v>
      </c>
      <c r="G13" s="852">
        <f>SUBTOTAL(9,G8:G12)</f>
        <v>2001</v>
      </c>
      <c r="H13" s="853">
        <f>IF(ISNUMBER(G13/B13),G13/B13," - ")</f>
        <v>1000.5</v>
      </c>
      <c r="I13" s="852">
        <f>SUBTOTAL(9,I8:I12)</f>
        <v>2473</v>
      </c>
      <c r="J13" s="853">
        <f>IF(ISNUMBER(I13/B13),I13/B13," - ")</f>
        <v>1236.5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1327</v>
      </c>
      <c r="D16" s="407">
        <f>IF(ISNUMBER(C16/Datos!BH16),C16/Datos!BH16," - ")</f>
        <v>663.5</v>
      </c>
      <c r="E16" s="406">
        <f>IF(ISNUMBER(IF(D_I="SI",Datos!J16,Datos!J16+Datos!AD16)),IF(D_I="SI",Datos!J16,Datos!J16+Datos!AD16)," - ")</f>
        <v>2682</v>
      </c>
      <c r="F16" s="407">
        <f>IF(ISNUMBER(E16/B16),E16/B16," - ")</f>
        <v>1341</v>
      </c>
      <c r="G16" s="406">
        <f>IF(ISNUMBER(IF(D_I="SI",Datos!K16,Datos!K16+Datos!AE16)),IF(D_I="SI",Datos!K16,Datos!K16+Datos!AE16)," - ")</f>
        <v>2430</v>
      </c>
      <c r="H16" s="407">
        <f>IF(ISNUMBER(G16/B16),G16/B16," - ")</f>
        <v>1215</v>
      </c>
      <c r="I16" s="406">
        <f>IF(ISNUMBER(IF(D_I="SI",Datos!L16,Datos!L16+Datos!AF16)),IF(D_I="SI",Datos!L16,Datos!L16+Datos!AF16)," - ")</f>
        <v>1579</v>
      </c>
      <c r="J16" s="407">
        <f>IF(ISNUMBER(I16/B16),I16/B16," - ")</f>
        <v>789.5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37</v>
      </c>
      <c r="D17" s="407">
        <f>IF(ISNUMBER(C17/Datos!BH17),C17/Datos!BH17," - ")</f>
        <v>37</v>
      </c>
      <c r="E17" s="406">
        <f>IF(ISNUMBER(IF(D_I="SI",Datos!J17,Datos!J17+Datos!AD17)),IF(D_I="SI",Datos!J17,Datos!J17+Datos!AD17)," - ")</f>
        <v>373</v>
      </c>
      <c r="F17" s="407">
        <f>IF(ISNUMBER(E17/B17),E17/B17," - ")</f>
        <v>373</v>
      </c>
      <c r="G17" s="406">
        <f>IF(ISNUMBER(IF(D_I="SI",Datos!K17,Datos!K17+Datos!AE17)),IF(D_I="SI",Datos!K17,Datos!K17+Datos!AE17)," - ")</f>
        <v>315</v>
      </c>
      <c r="H17" s="407">
        <f>IF(ISNUMBER(G17/B17),G17/B17," - ")</f>
        <v>315</v>
      </c>
      <c r="I17" s="406">
        <f>IF(ISNUMBER(IF(D_I="SI",Datos!L17,Datos!L17+Datos!AF17)),IF(D_I="SI",Datos!L17,Datos!L17+Datos!AF17)," - ")</f>
        <v>95</v>
      </c>
      <c r="J17" s="407">
        <f>IF(ISNUMBER(I17/B17),I17/B17," - ")</f>
        <v>95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1364</v>
      </c>
      <c r="D18" s="853" t="str">
        <f>IF(ISNUMBER(C18/Datos!BI18),C18/Datos!BI18," - ")</f>
        <v xml:space="preserve"> - </v>
      </c>
      <c r="E18" s="852">
        <f>SUBTOTAL(9,E14:E17)</f>
        <v>3055</v>
      </c>
      <c r="F18" s="853">
        <f>IF(ISNUMBER(E18/B18),E18/B18," - ")</f>
        <v>1527.5</v>
      </c>
      <c r="G18" s="852">
        <f>SUBTOTAL(9,G14:G17)</f>
        <v>2745</v>
      </c>
      <c r="H18" s="853">
        <f>IF(ISNUMBER(G18/B18),G18/B18," - ")</f>
        <v>1372.5</v>
      </c>
      <c r="I18" s="852">
        <f>SUBTOTAL(9,I14:I17)</f>
        <v>1674</v>
      </c>
      <c r="J18" s="853">
        <f>IF(ISNUMBER(I18/B18),I18/B18," - ")</f>
        <v>837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3765</v>
      </c>
      <c r="D19" s="798" t="str">
        <f>IF(ISNUMBER(C19/Datos!BI19),C19/Datos!BI19," - ")</f>
        <v xml:space="preserve"> - </v>
      </c>
      <c r="E19" s="797">
        <f>SUBTOTAL(9,E9:E18)</f>
        <v>5128</v>
      </c>
      <c r="F19" s="798">
        <f>IF(ISNUMBER(E19/B19),E19/B19," - ")</f>
        <v>2564</v>
      </c>
      <c r="G19" s="797">
        <f>SUBTOTAL(9,G9:G18)</f>
        <v>4746</v>
      </c>
      <c r="H19" s="798">
        <f>IF(ISNUMBER(G19/B19),G19/B19," - ")</f>
        <v>2373</v>
      </c>
      <c r="I19" s="797">
        <f>SUBTOTAL(9,I9:I18)</f>
        <v>4147</v>
      </c>
      <c r="J19" s="798">
        <f>IF(ISNUMBER(I19/B19),I19/B19," - ")</f>
        <v>2073.5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jdZwftS+tOgmwMmAU/R5+lldIYXPSlj522p2vVLbO4Ucxnp5RXXG/gV/cIh/GywzTsRphF7lHKYE9gY2mXQ7Hw==" saltValue="HB3gayrSBKj43lGu5svq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HUELVA  Resumenes por Partidos Judiciales  MOGUER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15</v>
      </c>
      <c r="G10" s="687">
        <f>IF(ISNUMBER(Datos!I10),Datos!I10," - ")</f>
        <v>15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23</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464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278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2311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519</v>
      </c>
      <c r="AM12" s="693">
        <f>IF(ISNUMBER(Datos!N12+DatosP!N16),Datos!N12+DatosP!N16," - ")</f>
        <v>977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13.75278058645096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8.7529411764705883E-2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15</v>
      </c>
      <c r="G13" s="941">
        <f t="shared" si="0"/>
        <v>15</v>
      </c>
      <c r="H13" s="941">
        <f t="shared" si="0"/>
        <v>0</v>
      </c>
      <c r="I13" s="943">
        <f t="shared" si="0"/>
        <v>0</v>
      </c>
      <c r="J13" s="942">
        <f t="shared" si="0"/>
        <v>0</v>
      </c>
      <c r="K13" s="942">
        <f t="shared" si="0"/>
        <v>0</v>
      </c>
      <c r="L13" s="944">
        <f t="shared" si="0"/>
        <v>0</v>
      </c>
      <c r="M13" s="944">
        <f t="shared" si="0"/>
        <v>0</v>
      </c>
      <c r="N13" s="942">
        <f t="shared" si="0"/>
        <v>470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23</v>
      </c>
      <c r="AC13" s="942">
        <f t="shared" si="1"/>
        <v>0</v>
      </c>
      <c r="AD13" s="942">
        <f t="shared" si="1"/>
        <v>278</v>
      </c>
      <c r="AE13" s="942">
        <f t="shared" si="1"/>
        <v>0</v>
      </c>
      <c r="AF13" s="942">
        <f t="shared" si="1"/>
        <v>0</v>
      </c>
      <c r="AG13" s="942">
        <f t="shared" si="1"/>
        <v>0</v>
      </c>
      <c r="AH13" s="942">
        <f t="shared" si="1"/>
        <v>2311</v>
      </c>
      <c r="AI13" s="942">
        <f t="shared" si="1"/>
        <v>0</v>
      </c>
      <c r="AJ13" s="942">
        <f t="shared" si="1"/>
        <v>0</v>
      </c>
      <c r="AK13" s="942">
        <f t="shared" si="1"/>
        <v>0</v>
      </c>
      <c r="AL13" s="942">
        <f t="shared" si="1"/>
        <v>519</v>
      </c>
      <c r="AM13" s="942">
        <f t="shared" si="1"/>
        <v>977</v>
      </c>
      <c r="AN13" s="942">
        <f t="shared" si="1"/>
        <v>0</v>
      </c>
      <c r="AO13" s="942">
        <f t="shared" si="1"/>
        <v>0</v>
      </c>
      <c r="AP13" s="947">
        <f>IF(ISNUMBER(((Datos!L13/Datos!K13)*11)/factor_trimestre),((Datos!L13/Datos!K13)*11)/factor_trimestre," - ")</f>
        <v>13.84551581130119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-1.5333333333333334</v>
      </c>
      <c r="AU13" s="942" t="str">
        <f>IF(ISNUMBER((DatosP!#REF!-DatosP!#REF!+DatosP!#REF!)/(DatosP!#REF!+DatosP!#REF!-DatosP!#REF!-DatosP!#REF!)),(DatosP!#REF!-DatosP!#REF!+DatosP!#REF!)/(DatosP!#REF!+DatosP!#REF!-DatosP!#REF!-DatosP!#REF!)," - ")</f>
        <v xml:space="preserve"> - </v>
      </c>
      <c r="AV13" s="948">
        <f>SUBTOTAL(9,AV9:AV12)</f>
        <v>8.7529411764705883E-2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6.7081967213114755</v>
      </c>
      <c r="AQ18" s="947">
        <f>IF(ISNUMBER(((Datos!M18/Datos!L18)*11)/factor_trimestre),((Datos!M18/Datos!L18)*11)/factor_trimestre," - ")</f>
        <v>2.6678614097968936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-0.1797752808988764</v>
      </c>
      <c r="AW18" s="949">
        <f>IF(ISNUMBER((Datos!Q18-Datos!R18)/(Datos!S18-Datos!Q18+Datos!R18)),(Datos!Q18-Datos!R18)/(Datos!S18-Datos!Q18+Datos!R18)," - ")</f>
        <v>-4.790419161676647E-2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15</v>
      </c>
      <c r="G19" s="954">
        <f t="shared" si="4"/>
        <v>15</v>
      </c>
      <c r="H19" s="954">
        <f t="shared" si="4"/>
        <v>0</v>
      </c>
      <c r="I19" s="955">
        <f t="shared" si="4"/>
        <v>0</v>
      </c>
      <c r="J19" s="956">
        <f t="shared" si="4"/>
        <v>0</v>
      </c>
      <c r="K19" s="956">
        <f t="shared" si="4"/>
        <v>0</v>
      </c>
      <c r="L19" s="956">
        <f t="shared" si="4"/>
        <v>0</v>
      </c>
      <c r="M19" s="956">
        <f t="shared" si="4"/>
        <v>0</v>
      </c>
      <c r="N19" s="955">
        <f t="shared" si="4"/>
        <v>470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23</v>
      </c>
      <c r="AC19" s="960">
        <f t="shared" si="5"/>
        <v>0</v>
      </c>
      <c r="AD19" s="960">
        <f t="shared" si="5"/>
        <v>278</v>
      </c>
      <c r="AE19" s="960">
        <f t="shared" si="5"/>
        <v>0</v>
      </c>
      <c r="AF19" s="961">
        <f t="shared" si="5"/>
        <v>0</v>
      </c>
      <c r="AG19" s="961">
        <f t="shared" si="5"/>
        <v>0</v>
      </c>
      <c r="AH19" s="961">
        <f t="shared" si="5"/>
        <v>2311</v>
      </c>
      <c r="AI19" s="961">
        <f t="shared" si="5"/>
        <v>0</v>
      </c>
      <c r="AJ19" s="962">
        <f t="shared" si="5"/>
        <v>0</v>
      </c>
      <c r="AK19" s="962">
        <f t="shared" si="5"/>
        <v>0</v>
      </c>
      <c r="AL19" s="954">
        <f t="shared" si="5"/>
        <v>519</v>
      </c>
      <c r="AM19" s="954">
        <f t="shared" si="5"/>
        <v>977</v>
      </c>
      <c r="AN19" s="954">
        <f t="shared" si="5"/>
        <v>0</v>
      </c>
      <c r="AO19" s="954">
        <f t="shared" si="5"/>
        <v>0</v>
      </c>
      <c r="AP19" s="954">
        <f>IF(ISNUMBER(((Datos!L19/Datos!K19)*11)/factor_trimestre),((Datos!L19/Datos!K19)*11)/factor_trimestre," - ")</f>
        <v>9.6538296961916981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-1.5333333333333334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7.4357818837314099E-2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8.6602540378443873</v>
      </c>
      <c r="G21" s="740">
        <f>IF(ISNUMBER(STDEV(G8:G18)),STDEV(G8:G18),"-")</f>
        <v>8.6602540378443873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13.279056191361391</v>
      </c>
      <c r="AC21" s="741">
        <f>IF(ISNUMBER(STDEV(AC8:AC18)),STDEV(AC8:AC18),"-")</f>
        <v>0</v>
      </c>
      <c r="AD21" s="744"/>
      <c r="AE21" s="744"/>
      <c r="AF21" s="744"/>
      <c r="AG21" s="744"/>
      <c r="AH21" s="744"/>
      <c r="AI21" s="744"/>
      <c r="AJ21" s="745">
        <f>IF(ISNUMBER(STDEV(AJ8:AJ18)),STDEV(AJ8:AJ18),"-")</f>
        <v>0</v>
      </c>
      <c r="AK21" s="747"/>
      <c r="AL21" s="739">
        <f>IF(ISNUMBER(STDEV(AL8:AL18)),STDEV(AL8:AL18),"-")</f>
        <v>299.64478970941576</v>
      </c>
      <c r="AM21" s="739"/>
      <c r="AN21" s="739">
        <f>IF(ISNUMBER(STDEV(AN8:AN18)),STDEV(AN8:AN18),"-")</f>
        <v>0</v>
      </c>
      <c r="AO21" s="745">
        <f>IF(ISNUMBER(STDEV(AO8:AO18)),STDEV(AO8:AO18),"-")</f>
        <v>0</v>
      </c>
      <c r="AP21" s="782">
        <f>IF(ISNUMBER(STDEV(AP8:AP18)),STDEV(AP8:AP18),"-")</f>
        <v>6.6232750624792303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2xvt6ZLjpyrpe792UlsxrsA8pq7KPOjc8ZWFsSRnUYvJj6HTUK7pWxRKBP2hL18T0I4nP10vSgL4hl7Ed5gbIg==" saltValue="GQ3EMx4ggW4Xdby68cWw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HUELVA</v>
      </c>
      <c r="C3" s="418"/>
      <c r="F3" s="378"/>
      <c r="G3" s="378"/>
      <c r="H3" s="378"/>
    </row>
    <row r="4" spans="1:15" ht="13.5" thickBot="1">
      <c r="A4" s="378"/>
      <c r="B4" s="394" t="str">
        <f>Criterios!A11 &amp;"  "&amp;Criterios!B11</f>
        <v>Resumenes por Partidos Judiciales  MOGUER</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ZoFx9Irlgb0bwJhoCcR2kyTD/zasnkqfDr16TZ/tgj0HPnL9oplMfewpIFa5cVg2Hbd7lWZPWnMjfxdXRaatZA==" saltValue="rr6BY1nlMaozFCv2Ryyu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HUELVA</v>
      </c>
      <c r="C3" s="394"/>
      <c r="D3" s="428"/>
    </row>
    <row r="4" spans="1:9" ht="13.5" thickBot="1">
      <c r="B4" s="394" t="str">
        <f>Criterios!A11 &amp;"  "&amp;Criterios!B11</f>
        <v>Resumenes por Partidos Judiciales  MOGUER</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519</v>
      </c>
      <c r="E12" s="407">
        <f t="shared" si="0"/>
        <v>259.5</v>
      </c>
      <c r="F12" s="406">
        <f>IF(ISNUMBER(Datos!N12),Datos!N12," - ")</f>
        <v>977</v>
      </c>
      <c r="G12" s="407">
        <f t="shared" si="1"/>
        <v>488.5</v>
      </c>
      <c r="H12" s="406">
        <f>IF(ISNUMBER(Datos!O12),Datos!O12," - ")</f>
        <v>656</v>
      </c>
      <c r="I12" s="407">
        <f t="shared" si="2"/>
        <v>328</v>
      </c>
    </row>
    <row r="13" spans="1:9" ht="14.25" thickTop="1" thickBot="1">
      <c r="A13" s="851" t="str">
        <f>Datos!A13</f>
        <v>TOTAL</v>
      </c>
      <c r="B13" s="852">
        <f>Datos!AO13</f>
        <v>3</v>
      </c>
      <c r="C13" s="854">
        <f>Datos!AR13</f>
        <v>2</v>
      </c>
      <c r="D13" s="852">
        <f>SUBTOTAL(9,D9:D12)</f>
        <v>519</v>
      </c>
      <c r="E13" s="853">
        <f t="shared" si="0"/>
        <v>173</v>
      </c>
      <c r="F13" s="852">
        <f>SUBTOTAL(9,F9:F12)</f>
        <v>977</v>
      </c>
      <c r="G13" s="853">
        <f t="shared" si="1"/>
        <v>325.66666666666669</v>
      </c>
      <c r="H13" s="852">
        <f>SUBTOTAL(9,H9:H12)</f>
        <v>656</v>
      </c>
      <c r="I13" s="853">
        <f>IF(ISNUMBER(H13/B13),H13/B13," - ")</f>
        <v>218.66666666666666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339</v>
      </c>
      <c r="E16" s="407">
        <f t="shared" si="3"/>
        <v>169.5</v>
      </c>
      <c r="F16" s="406">
        <f>IF(ISNUMBER(Datos!N16),Datos!N16," - ")</f>
        <v>1844</v>
      </c>
      <c r="G16" s="407">
        <f t="shared" si="4"/>
        <v>922</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67</v>
      </c>
      <c r="E17" s="407">
        <f>IF(ISNUMBER(D17/B17),D17/B17," - ")</f>
        <v>67</v>
      </c>
      <c r="F17" s="406">
        <f>IF(ISNUMBER(Datos!N17),Datos!N17," - ")</f>
        <v>214</v>
      </c>
      <c r="G17" s="407">
        <f>IF(ISNUMBER(F17/B17),F17/B17," - ")</f>
        <v>214</v>
      </c>
      <c r="H17" s="406">
        <f>IF(ISNUMBER(Datos!O17),Datos!O17," - ")</f>
        <v>0</v>
      </c>
      <c r="I17" s="407">
        <f t="shared" si="5"/>
        <v>0</v>
      </c>
    </row>
    <row r="18" spans="1:9" ht="14.25" thickTop="1" thickBot="1">
      <c r="A18" s="851" t="str">
        <f>Datos!A18</f>
        <v>TOTAL</v>
      </c>
      <c r="B18" s="852">
        <f>Datos!AO18</f>
        <v>3</v>
      </c>
      <c r="C18" s="854">
        <f>Datos!AR18</f>
        <v>2</v>
      </c>
      <c r="D18" s="852">
        <f>SUBTOTAL(9,D15:D17)</f>
        <v>406</v>
      </c>
      <c r="E18" s="853">
        <f t="shared" si="3"/>
        <v>135.33333333333334</v>
      </c>
      <c r="F18" s="852">
        <f>SUBTOTAL(9,F15:F17)</f>
        <v>2058</v>
      </c>
      <c r="G18" s="853">
        <f t="shared" si="4"/>
        <v>686</v>
      </c>
      <c r="H18" s="852">
        <f>SUBTOTAL(9,H15:H17)</f>
        <v>0</v>
      </c>
      <c r="I18" s="853">
        <f>IF(ISNUMBER(H18/B18),H18/B18," - ")</f>
        <v>0</v>
      </c>
    </row>
    <row r="19" spans="1:9" ht="14.25" thickTop="1" thickBot="1">
      <c r="A19" s="796" t="str">
        <f>Datos!A19</f>
        <v>TOTAL JURISDICCIONES</v>
      </c>
      <c r="B19" s="797">
        <f>Datos!AP19</f>
        <v>2</v>
      </c>
      <c r="C19" s="797">
        <f>Datos!AR19</f>
        <v>2</v>
      </c>
      <c r="D19" s="797">
        <f>SUBTOTAL(9,D8:D18)</f>
        <v>925</v>
      </c>
      <c r="E19" s="798">
        <f>IF(ISNUMBER(D19/B19),D19/B19," - ")</f>
        <v>462.5</v>
      </c>
      <c r="F19" s="797">
        <f>SUBTOTAL(9,F8:F18)</f>
        <v>3035</v>
      </c>
      <c r="G19" s="798">
        <f>IF(ISNUMBER(F19/B19),F19/B19," - ")</f>
        <v>1517.5</v>
      </c>
      <c r="H19" s="797">
        <f>SUBTOTAL(9,H8:H18)</f>
        <v>656</v>
      </c>
      <c r="I19" s="798">
        <f>IF(ISNUMBER(H19/B19),H19/B19," - ")</f>
        <v>328</v>
      </c>
    </row>
    <row r="22" spans="1:9">
      <c r="A22" s="394" t="str">
        <f>Criterios!A4</f>
        <v>Fecha Informe: 03 may. 2024</v>
      </c>
    </row>
    <row r="27" spans="1:9">
      <c r="A27" s="417"/>
    </row>
  </sheetData>
  <sheetProtection algorithmName="SHA-512" hashValue="y1TeCWu/qcjI0WdpoyBJow78cFyN3G4EUsKtEBs8M1mLT4vXZoL36SHj81ES5Bm6ieJQzENIPosL+Cv8sZAPBA==" saltValue="Lm2ydFKOjUItc5afQpAh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HUELVA</v>
      </c>
    </row>
    <row r="4" spans="1:4" ht="13.5" thickBot="1">
      <c r="B4" s="394" t="str">
        <f>Criterios!A11 &amp;"  "&amp;Criterios!B11</f>
        <v>Resumenes por Partidos Judiciales  MOGUER</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6</v>
      </c>
      <c r="C10" s="437">
        <f>IF(ISNUMBER(Datos!Q10),Datos!Q10," - ")</f>
        <v>11</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464</v>
      </c>
      <c r="C12" s="437">
        <f>IF(ISNUMBER(Datos!Q12),Datos!Q12," - ")</f>
        <v>278</v>
      </c>
      <c r="D12" s="411">
        <f>IF(ISNUMBER(Datos!R12),Datos!R12," - ")</f>
        <v>2311</v>
      </c>
    </row>
    <row r="13" spans="1:4" ht="14.25" thickTop="1" thickBot="1">
      <c r="A13" s="851" t="str">
        <f>Datos!A13</f>
        <v>TOTAL</v>
      </c>
      <c r="B13" s="852">
        <f>SUBTOTAL(9,B9:B12)</f>
        <v>470</v>
      </c>
      <c r="C13" s="856">
        <f>SUBTOTAL(9,C9:C12)</f>
        <v>289</v>
      </c>
      <c r="D13" s="854">
        <f>SUBTOTAL(9,D9:D12)</f>
        <v>2311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v>
      </c>
      <c r="C16" s="437">
        <f>IF(ISNUMBER(Datos!Q16),Datos!Q16," - ")</f>
        <v>23</v>
      </c>
      <c r="D16" s="411">
        <f>IF(ISNUMBER(Datos!R16),Datos!R16," - ")</f>
        <v>73</v>
      </c>
    </row>
    <row r="17" spans="1:4" ht="13.5" thickBot="1">
      <c r="A17" s="405" t="str">
        <f>Datos!A17</f>
        <v>Jdos. Violencia contra la mujer</v>
      </c>
      <c r="B17" s="436">
        <f>IF(ISNUMBER(Datos!P17),Datos!P17," - ")</f>
        <v>0</v>
      </c>
      <c r="C17" s="437">
        <f>IF(ISNUMBER(Datos!Q17),Datos!Q17," - ")</f>
        <v>2</v>
      </c>
      <c r="D17" s="411">
        <f>IF(ISNUMBER(Datos!R17),Datos!R17," - ")</f>
        <v>0</v>
      </c>
    </row>
    <row r="18" spans="1:4" ht="14.25" thickTop="1" thickBot="1">
      <c r="A18" s="851" t="str">
        <f>Datos!A18</f>
        <v>TOTAL</v>
      </c>
      <c r="B18" s="852">
        <f>SUBTOTAL(9,B15:B17)</f>
        <v>9</v>
      </c>
      <c r="C18" s="856">
        <f>SUBTOTAL(9,C15:C17)</f>
        <v>25</v>
      </c>
      <c r="D18" s="854">
        <f>SUBTOTAL(9,D15:D17)</f>
        <v>73</v>
      </c>
    </row>
    <row r="19" spans="1:4" ht="16.5" customHeight="1" thickTop="1" thickBot="1">
      <c r="A19" s="796" t="str">
        <f>Datos!A19</f>
        <v>TOTAL JURISDICCIONES</v>
      </c>
      <c r="B19" s="801">
        <f>SUBTOTAL(9,B8:B18)</f>
        <v>479</v>
      </c>
      <c r="C19" s="802">
        <f>SUBTOTAL(9,C8:C18)</f>
        <v>314</v>
      </c>
      <c r="D19" s="803">
        <f>SUBTOTAL(9,D8:D18)</f>
        <v>2384</v>
      </c>
    </row>
    <row r="20" spans="1:4" ht="7.5" customHeight="1"/>
    <row r="21" spans="1:4" ht="6" customHeight="1"/>
    <row r="22" spans="1:4">
      <c r="A22" s="394" t="str">
        <f>Criterios!A4</f>
        <v>Fecha Informe: 03 may. 2024</v>
      </c>
    </row>
    <row r="27" spans="1:4">
      <c r="A27" s="417"/>
    </row>
  </sheetData>
  <sheetProtection algorithmName="SHA-512" hashValue="YIYsC9xjIWv7Tul4cFTeo17FNYvGAZW7y5f2Rgcz00dY8nVSC6ZZLPqCXfRpBlSojk/i2qJRXxPdVgRH0E/ljg==" saltValue="JRp+gLGtkOV42qgmqxIA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HUELVA</v>
      </c>
    </row>
    <row r="4" spans="1:11" ht="10.5" customHeight="1" thickBot="1">
      <c r="B4" s="394" t="str">
        <f>Criterios!A11 &amp;"  "&amp;Criterios!B11</f>
        <v>Resumenes por Partidos Judiciales  MOGUER</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0.66666666666666663</v>
      </c>
      <c r="C10" s="459">
        <f>IF(ISNUMBER((Datos!J10-Datos!T10)/Datos!T10),(Datos!J10-Datos!T10)/Datos!T10," - ")</f>
        <v>-0.81818181818181823</v>
      </c>
      <c r="D10" s="459">
        <f>IF(ISNUMBER((Datos!K10-Datos!U10)/Datos!U10),(Datos!K10-Datos!U10)/Datos!U10," - ")</f>
        <v>-0.39473684210526316</v>
      </c>
      <c r="E10" s="459">
        <f>IF(ISNUMBER((Datos!L10-Datos!V10)/Datos!V10),(Datos!L10-Datos!V10)/Datos!V10," - ")</f>
        <v>-1</v>
      </c>
      <c r="F10" s="459">
        <f>IF(ISNUMBER((Datos!M10-Datos!W10)/Datos!W10),(Datos!M10-Datos!W10)/Datos!W10," - ")</f>
        <v>-1</v>
      </c>
      <c r="G10" s="460">
        <f>IF(ISNUMBER((Datos!N10-Datos!X10)/Datos!X10),(Datos!N10-Datos!X10)/Datos!X10," - ")</f>
        <v>-1</v>
      </c>
      <c r="H10" s="458">
        <f>IF(ISNUMBER(((NºAsuntos!G10/NºAsuntos!E10)-Datos!BD10)/Datos!BD10),((NºAsuntos!G10/NºAsuntos!E10)-Datos!BD10)/Datos!BD10," - ")</f>
        <v>2.3289473684210527</v>
      </c>
      <c r="I10" s="459">
        <f>IF(ISNUMBER(((NºAsuntos!I10/NºAsuntos!G10)-Datos!BE10)/Datos!BE10),((NºAsuntos!I10/NºAsuntos!G10)-Datos!BE10)/Datos!BE10," - ")</f>
        <v>-1</v>
      </c>
      <c r="J10" s="464">
        <f>IF(ISNUMBER((('Resol  Asuntos'!D10/NºAsuntos!G10)-Datos!BF10)/Datos!BF10),(('Resol  Asuntos'!D10/NºAsuntos!G10)-Datos!BF10)/Datos!BF10," - ")</f>
        <v>-1</v>
      </c>
      <c r="K10" s="465">
        <f>IF(ISNUMBER((((NºAsuntos!C10+NºAsuntos!E10)/NºAsuntos!G10)-Datos!BG10)/Datos!BG10),(((NºAsuntos!C10+NºAsuntos!E10)/NºAsuntos!G10)-Datos!BG10)/Datos!BG10," - ")</f>
        <v>-0.28301886792452824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0.18647439085032322</v>
      </c>
      <c r="C12" s="459">
        <f>IF(ISNUMBER(
   IF(J_V="SI",(Datos!J12-Datos!T12)/Datos!T12,(Datos!J12+Datos!Z12-(Datos!T12+Datos!AH12))/(Datos!T12+Datos!AH12))
     ),IF(J_V="SI",(Datos!J12-Datos!T12)/Datos!T12,(Datos!J12+Datos!Z12-(Datos!T12+Datos!AH12))/(Datos!T12+Datos!AH12))," - ")</f>
        <v>4.2402826855123678E-2</v>
      </c>
      <c r="D12" s="459">
        <f>IF(ISNUMBER(
   IF(J_V="SI",(Datos!K12-Datos!U12)/Datos!U12,(Datos!K12+Datos!AA12-(Datos!U12+Datos!AI12))/(Datos!U12+Datos!AI12))
     ),IF(J_V="SI",(Datos!K12-Datos!U12)/Datos!U12,(Datos!K12+Datos!AA12-(Datos!U12+Datos!AI12))/(Datos!U12+Datos!AI12))," - ")</f>
        <v>0.23163138231631383</v>
      </c>
      <c r="E12" s="459">
        <f>IF(ISNUMBER(
   IF(J_V="SI",(Datos!L12-Datos!V12)/Datos!V12,(Datos!L12+Datos!AB12-(Datos!V12+Datos!AJ12))/(Datos!V12+Datos!AJ12))
     ),IF(J_V="SI",(Datos!L12-Datos!V12)/Datos!V12,(Datos!L12+Datos!AB12-(Datos!V12+Datos!AJ12))/(Datos!V12+Datos!AJ12))," - ")</f>
        <v>3.6462699077954734E-2</v>
      </c>
      <c r="F12" s="459">
        <f>IF(ISNUMBER((Datos!M12-Datos!W12)/Datos!W12),(Datos!M12-Datos!W12)/Datos!W12," - ")</f>
        <v>0.59692307692307689</v>
      </c>
      <c r="G12" s="460">
        <f>IF(ISNUMBER((Datos!N12-Datos!X12)/Datos!X12),(Datos!N12-Datos!X12)/Datos!X12," - ")</f>
        <v>0.25096030729833546</v>
      </c>
      <c r="H12" s="458">
        <f>IF(ISNUMBER(((NºAsuntos!G12/NºAsuntos!E12)-Datos!BD12)/Datos!BD12),((NºAsuntos!G12/NºAsuntos!E12)-Datos!BD12)/Datos!BD12," - ")</f>
        <v>0.1815311226966671</v>
      </c>
      <c r="I12" s="459">
        <f>IF(ISNUMBER(((NºAsuntos!I12/NºAsuntos!G12)-Datos!BE12)/Datos!BE12),((NºAsuntos!I12/NºAsuntos!G12)-Datos!BE12)/Datos!BE12," - ")</f>
        <v>-0.15846355170920357</v>
      </c>
      <c r="J12" s="464">
        <f>IF(ISNUMBER((('Resol  Asuntos'!D12/NºAsuntos!G12)-Datos!BF12)/Datos!BF12),(('Resol  Asuntos'!D12/NºAsuntos!G12)-Datos!BF12)/Datos!BF12," - ")</f>
        <v>-0.46044517865534973</v>
      </c>
      <c r="K12" s="465">
        <f>IF(ISNUMBER((((NºAsuntos!C12+NºAsuntos!E12)/NºAsuntos!G12)-Datos!BG12)/Datos!BG12),(((NºAsuntos!C12+NºAsuntos!E12)/NºAsuntos!G12)-Datos!BG12)/Datos!BG12," - ")</f>
        <v>-9.4712934463466847E-2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0.18861386138613861</v>
      </c>
      <c r="C13" s="858">
        <f>IF(ISNUMBER(
   IF(J_V="SI",(Datos!J13-Datos!T13)/Datos!T13,(Datos!J13+Datos!Z13-(Datos!T13+Datos!AH13))/(Datos!T13+Datos!AH13))
     ),IF(J_V="SI",(Datos!J13-Datos!T13)/Datos!T13,(Datos!J13+Datos!Z13-(Datos!T13+Datos!AH13))/(Datos!T13+Datos!AH13))," - ")</f>
        <v>2.3703703703703703E-2</v>
      </c>
      <c r="D13" s="858">
        <f>IF(ISNUMBER(
   IF(J_V="SI",(Datos!K13-Datos!U13)/Datos!U13,(Datos!K13+Datos!AA13-(Datos!U13+Datos!AI13))/(Datos!U13+Datos!AI13))
     ),IF(J_V="SI",(Datos!K13-Datos!U13)/Datos!U13,(Datos!K13+Datos!AA13-(Datos!U13+Datos!AI13))/(Datos!U13+Datos!AI13))," - ")</f>
        <v>0.21715328467153286</v>
      </c>
      <c r="E13" s="858">
        <f>IF(ISNUMBER(
   IF(J_V="SI",(Datos!L13-Datos!V13)/Datos!V13,(Datos!L13+Datos!AB13-(Datos!V13+Datos!AJ13))/(Datos!V13+Datos!AJ13))
     ),IF(J_V="SI",(Datos!L13-Datos!V13)/Datos!V13,(Datos!L13+Datos!AB13-(Datos!V13+Datos!AJ13))/(Datos!V13+Datos!AJ13))," - ")</f>
        <v>2.9987505206164097E-2</v>
      </c>
      <c r="F13" s="859">
        <f>IF(ISNUMBER((Datos!M13-Datos!W13)/Datos!W13),(Datos!M13-Datos!W13)/Datos!W13," - ")</f>
        <v>0.55855855855855852</v>
      </c>
      <c r="G13" s="860">
        <f>IF(ISNUMBER((Datos!N13-Datos!X13)/Datos!X13),(Datos!N13-Datos!X13)/Datos!X13," - ")</f>
        <v>0.23670886075949368</v>
      </c>
      <c r="H13" s="860">
        <f>IF(ISNUMBER(((NºAsuntos!G13/NºAsuntos!E13)-Datos!BD13)/Datos!BD13),((NºAsuntos!G13/NºAsuntos!E13)-Datos!BD13)/Datos!BD13," - ")</f>
        <v>0.18897028531589688</v>
      </c>
      <c r="I13" s="860">
        <f>IF(ISNUMBER(((NºAsuntos!I13/NºAsuntos!G13)-Datos!BE13)/Datos!BE13),((NºAsuntos!I13/NºAsuntos!G13)-Datos!BE13)/Datos!BE13," - ")</f>
        <v>-0.15377338402851878</v>
      </c>
      <c r="J13" s="860">
        <f>IF(ISNUMBER((('Resol  Asuntos'!D13/NºAsuntos!G13)-Datos!BF13)/Datos!BF13),(('Resol  Asuntos'!D13/NºAsuntos!G13)-Datos!BF13)/Datos!BF13," - ")</f>
        <v>-0.45956299416831509</v>
      </c>
      <c r="K13" s="860">
        <f>IF(ISNUMBER((((NºAsuntos!C13+NºAsuntos!E13)/NºAsuntos!G13)-Datos!BG13)/Datos!BG13),(((NºAsuntos!C13+NºAsuntos!E13)/NºAsuntos!G13)-Datos!BG13)/Datos!BG13," - ")</f>
        <v>-9.1275623004319809E-2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0.48268156424581005</v>
      </c>
      <c r="C16" s="459">
        <f>IF(ISNUMBER(
   IF(D_I="SI",(Datos!J16-Datos!T16)/Datos!T16,(Datos!J16+Datos!AD16-(Datos!T16+Datos!AL16))/(Datos!T16+Datos!AL16))
     ),IF(D_I="SI",(Datos!J16-Datos!T16)/Datos!T16,(Datos!J16+Datos!AD16-(Datos!T16+Datos!AL16))/(Datos!T16+Datos!AL16))," - ")</f>
        <v>-9.0230664857530535E-2</v>
      </c>
      <c r="D16" s="459">
        <f>IF(ISNUMBER(
   IF(D_I="SI",(Datos!K16-Datos!U16)/Datos!U16,(Datos!K16+Datos!AE16-(Datos!U16+Datos!AM16))/(Datos!U16+Datos!AM16))
     ),IF(D_I="SI",(Datos!K16-Datos!U16)/Datos!U16,(Datos!K16+Datos!AE16-(Datos!U16+Datos!AM16))/(Datos!U16+Datos!AM16))," - ")</f>
        <v>-3.4181240063593007E-2</v>
      </c>
      <c r="E16" s="459">
        <f>IF(ISNUMBER(
   IF(D_I="SI",(Datos!L16-Datos!V16)/Datos!V16,(Datos!L16+Datos!AF16-(Datos!V16+Datos!AN16))/(Datos!V16+Datos!AN16))
     ),IF(D_I="SI",(Datos!L16-Datos!V16)/Datos!V16,(Datos!L16+Datos!AF16-(Datos!V16+Datos!AN16))/(Datos!V16+Datos!AN16))," - ")</f>
        <v>0.18990203466465713</v>
      </c>
      <c r="F16" s="459">
        <f>IF(ISNUMBER((Datos!M16-Datos!W16)/Datos!W16),(Datos!M16-Datos!W16)/Datos!W16," - ")</f>
        <v>-0.25330396475770928</v>
      </c>
      <c r="G16" s="460">
        <f>IF(ISNUMBER((Datos!N16-Datos!X16)/Datos!X16),(Datos!N16-Datos!X16)/Datos!X16," - ")</f>
        <v>9.7619047619047619E-2</v>
      </c>
      <c r="H16" s="458">
        <f>IF(ISNUMBER(((NºAsuntos!G16/NºAsuntos!E16)-Datos!BD16)/Datos!BD16),((NºAsuntos!G16/NºAsuntos!E16)-Datos!BD16)/Datos!BD16," - ")</f>
        <v>6.1608390862240084E-2</v>
      </c>
      <c r="I16" s="459">
        <f>IF(ISNUMBER(((NºAsuntos!I16/NºAsuntos!G16)-Datos!BE16)/Datos!BE16),((NºAsuntos!I16/NºAsuntos!G16)-Datos!BE16)/Datos!BE16," - ")</f>
        <v>0.23201379391616359</v>
      </c>
      <c r="J16" s="464">
        <f>IF(ISNUMBER((('Resol  Asuntos'!D16/NºAsuntos!G16)-Datos!BF16)/Datos!BF16),(('Resol  Asuntos'!D16/NºAsuntos!G16)-Datos!BF16)/Datos!BF16," - ")</f>
        <v>-0.2268776853211508</v>
      </c>
      <c r="K16" s="465">
        <f>IF(ISNUMBER((((NºAsuntos!C16+NºAsuntos!E16)/NºAsuntos!G16)-Datos!BG16)/Datos!BG16),(((NºAsuntos!C16+NºAsuntos!E16)/NºAsuntos!G16)-Datos!BG16)/Datos!BG16," - ")</f>
        <v>8.0115093553668693E-2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-0.3728813559322034</v>
      </c>
      <c r="C17" s="459">
        <f>IF(ISNUMBER(
   IF(D_I="SI",(Datos!J17-Datos!T17)/Datos!T17,(Datos!J17+Datos!AD17-(Datos!T17+Datos!AL17))/(Datos!T17+Datos!AL17))
     ),IF(D_I="SI",(Datos!J17-Datos!T17)/Datos!T17,(Datos!J17+Datos!AD17-(Datos!T17+Datos!AL17))/(Datos!T17+Datos!AL17))," - ")</f>
        <v>-0.17660044150110377</v>
      </c>
      <c r="D17" s="459">
        <f>IF(ISNUMBER(
   IF(D_I="SI",(Datos!K17-Datos!U17)/Datos!U17,(Datos!K17+Datos!AE17-(Datos!U17+Datos!AM17))/(Datos!U17+Datos!AM17))
     ),IF(D_I="SI",(Datos!K17-Datos!U17)/Datos!U17,(Datos!K17+Datos!AE17-(Datos!U17+Datos!AM17))/(Datos!U17+Datos!AM17))," - ")</f>
        <v>-0.33684210526315789</v>
      </c>
      <c r="E17" s="459">
        <f>IF(ISNUMBER(
   IF(D_I="SI",(Datos!L17-Datos!V17)/Datos!V17,(Datos!L17+Datos!AF17-(Datos!V17+Datos!AN17))/(Datos!V17+Datos!AN17))
     ),IF(D_I="SI",(Datos!L17-Datos!V17)/Datos!V17,(Datos!L17+Datos!AF17-(Datos!V17+Datos!AN17))/(Datos!V17+Datos!AN17))," - ")</f>
        <v>1.5675675675675675</v>
      </c>
      <c r="F17" s="459">
        <f>IF(ISNUMBER((Datos!M17-Datos!W17)/Datos!W17),(Datos!M17-Datos!W17)/Datos!W17," - ")</f>
        <v>-0.11842105263157894</v>
      </c>
      <c r="G17" s="460">
        <f>IF(ISNUMBER((Datos!N17-Datos!X17)/Datos!X17),(Datos!N17-Datos!X17)/Datos!X17," - ")</f>
        <v>-0.33950617283950618</v>
      </c>
      <c r="H17" s="458">
        <f>IF(ISNUMBER(((NºAsuntos!G17/NºAsuntos!E17)-Datos!BD17)/Datos!BD17),((NºAsuntos!G17/NºAsuntos!E17)-Datos!BD17)/Datos!BD17," - ")</f>
        <v>-0.19460984901933118</v>
      </c>
      <c r="I17" s="459">
        <f>IF(ISNUMBER(((NºAsuntos!I17/NºAsuntos!G17)-Datos!BE17)/Datos!BE17),((NºAsuntos!I17/NºAsuntos!G17)-Datos!BE17)/Datos!BE17," - ")</f>
        <v>2.8717288717288714</v>
      </c>
      <c r="J17" s="464">
        <f>IF(ISNUMBER((('Resol  Asuntos'!D17/NºAsuntos!G17)-Datos!BF17)/Datos!BF17),(('Resol  Asuntos'!D17/NºAsuntos!G17)-Datos!BF17)/Datos!BF17," - ")</f>
        <v>0.32936507936507931</v>
      </c>
      <c r="K17" s="465">
        <f>IF(ISNUMBER((((NºAsuntos!C17+NºAsuntos!E17)/NºAsuntos!G17)-Datos!BG17)/Datos!BG17),(((NºAsuntos!C17+NºAsuntos!E17)/NºAsuntos!G17)-Datos!BG17)/Datos!BG17," - ")</f>
        <v>0.2075272817460318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0.42976939203354297</v>
      </c>
      <c r="C18" s="858">
        <f>IF(ISNUMBER(
   IF(Criterios!B14="SI",(Datos!J18-Datos!T18)/Datos!T18,(Datos!J18+Datos!AD18-(Datos!T18+Datos!AL18))/(Datos!T18+Datos!AL18))
     ),IF(Criterios!B14="SI",(Datos!J18-Datos!T18)/Datos!T18,(Datos!J18+Datos!AD18-(Datos!T18+Datos!AL18))/(Datos!T18+Datos!AL18))," - ")</f>
        <v>-0.10173478388709203</v>
      </c>
      <c r="D18" s="858">
        <f>IF(ISNUMBER(
   IF(Criterios!B14="SI",(Datos!K18-Datos!U18)/Datos!U18,(Datos!K18+Datos!AE18-(Datos!U18+Datos!AM18))/(Datos!U18+Datos!AM18))
     ),IF(Criterios!B14="SI",(Datos!K18-Datos!U18)/Datos!U18,(Datos!K18+Datos!AE18-(Datos!U18+Datos!AM18))/(Datos!U18+Datos!AM18))," - ")</f>
        <v>-8.2246740220661987E-2</v>
      </c>
      <c r="E18" s="858">
        <f>IF(ISNUMBER(
   IF(Criterios!B14="SI",(Datos!L18-Datos!V18)/Datos!V18,(Datos!L18+Datos!AF18-(Datos!V18+Datos!AN18))/(Datos!V18+Datos!AN18))
     ),IF(Criterios!B14="SI",(Datos!L18-Datos!V18)/Datos!V18,(Datos!L18+Datos!AF18-(Datos!V18+Datos!AN18))/(Datos!V18+Datos!AN18))," - ")</f>
        <v>0.22727272727272727</v>
      </c>
      <c r="F18" s="859">
        <f>IF(ISNUMBER((Datos!M18-Datos!W18)/Datos!W18),(Datos!M18-Datos!W18)/Datos!W18," - ")</f>
        <v>-0.2339622641509434</v>
      </c>
      <c r="G18" s="860">
        <f>IF(ISNUMBER((Datos!N18-Datos!X18)/Datos!X18),(Datos!N18-Datos!X18)/Datos!X18," - ")</f>
        <v>2.6946107784431138E-2</v>
      </c>
      <c r="H18" s="860">
        <f>IF(ISNUMBER(((NºAsuntos!G18/NºAsuntos!E18)-Datos!BD18)/Datos!BD18),((NºAsuntos!G18/NºAsuntos!E18)-Datos!BD18)/Datos!BD18," - ")</f>
        <v>2.1695200166785153E-2</v>
      </c>
      <c r="I18" s="860">
        <f>IF(ISNUMBER(((NºAsuntos!I18/NºAsuntos!G18)-Datos!BE18)/Datos!BE18),((NºAsuntos!I18/NºAsuntos!G18)-Datos!BE18)/Datos!BE18," - ")</f>
        <v>0.33725782414306998</v>
      </c>
      <c r="J18" s="860">
        <f>IF(ISNUMBER((('Resol  Asuntos'!D18/NºAsuntos!G18)-Datos!BF18)/Datos!BF18),(('Resol  Asuntos'!D18/NºAsuntos!G18)-Datos!BF18)/Datos!BF18," - ")</f>
        <v>-0.16531188782348688</v>
      </c>
      <c r="K18" s="860">
        <f>IF(ISNUMBER((((NºAsuntos!C18+NºAsuntos!E18)/NºAsuntos!G18)-Datos!BG18)/Datos!BG18),(((NºAsuntos!C18+NºAsuntos!E18)/NºAsuntos!G18)-Datos!BG18)/Datos!BG18," - ")</f>
        <v>0.10563023470290407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0.26597175521183591</v>
      </c>
      <c r="C19" s="805">
        <f>IF(ISNUMBER(
   IF(J_V="SI",(Datos!J19-Datos!T19)/Datos!T19,(Datos!J19+Datos!Z19-(Datos!T19+Datos!AH19))/(Datos!T19+Datos!AH19))
     ),IF(J_V="SI",(Datos!J19-Datos!T19)/Datos!T19,(Datos!J19+Datos!Z19-(Datos!T19+Datos!AH19))/(Datos!T19+Datos!AH19))," - ")</f>
        <v>-5.4920751935127167E-2</v>
      </c>
      <c r="D19" s="805">
        <f>IF(ISNUMBER(
   IF(J_V="SI",(Datos!K19-Datos!U19)/Datos!U19,(Datos!K19+Datos!AA19-(Datos!U19+Datos!AI19))/(Datos!U19+Datos!AI19))
     ),IF(J_V="SI",(Datos!K19-Datos!U19)/Datos!U19,(Datos!K19+Datos!AA19-(Datos!U19+Datos!AI19))/(Datos!U19+Datos!AI19))," - ")</f>
        <v>2.3948220064724919E-2</v>
      </c>
      <c r="E19" s="805">
        <f>IF(ISNUMBER(
   IF(J_V="SI",(Datos!L19-Datos!V19)/Datos!V19,(Datos!L19+Datos!AB19-(Datos!V19+Datos!AJ19))/(Datos!V19+Datos!AJ19))
     ),IF(J_V="SI",(Datos!L19-Datos!V19)/Datos!V19,(Datos!L19+Datos!AB19-(Datos!V19+Datos!AJ19))/(Datos!V19+Datos!AJ19))," - ")</f>
        <v>0.10146082337317397</v>
      </c>
      <c r="F19" s="806">
        <f>IF(ISNUMBER((Datos!M19-Datos!W19)/Datos!W19),(Datos!M19-Datos!W19)/Datos!W19," - ")</f>
        <v>7.1842410196987255E-2</v>
      </c>
      <c r="G19" s="807">
        <f>IF(ISNUMBER((Datos!N19-Datos!X19)/Datos!X19),(Datos!N19-Datos!X19)/Datos!X19," - ")</f>
        <v>8.6256263421617754E-2</v>
      </c>
      <c r="H19" s="808">
        <f>IF(ISNUMBER((Tasas!B19-Datos!BD19)/Datos!BD19),(Tasas!B19-Datos!BD19)/Datos!BD19," - ")</f>
        <v>8.3452231293135212E-2</v>
      </c>
      <c r="I19" s="809">
        <f>IF(ISNUMBER((Tasas!C19-Datos!BE19)/Datos!BE19),(Tasas!C19-Datos!BE19)/Datos!BE19," - ")</f>
        <v>7.5699729526898657E-2</v>
      </c>
      <c r="J19" s="810">
        <f>IF(ISNUMBER((Tasas!D19-Datos!BF19)/Datos!BF19),(Tasas!D19-Datos!BF19)/Datos!BF19," - ")</f>
        <v>-0.31511297011776723</v>
      </c>
      <c r="K19" s="810">
        <f>IF(ISNUMBER((Tasas!E19-Datos!BG19)/Datos!BG19),(Tasas!E19-Datos!BG19)/Datos!BG19," - ")</f>
        <v>3.3929700198663509E-2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0cm4xEr0N4aWqSPshTZ1+Yh17mEJ3hGaBd6iBFshXACKKzbpmPhTfXxf7t8Hp/koWEtcO0CpMsmtNs+U4R9xQ==" saltValue="DDAE4NeeOZ9zb4aFUzGL2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HUELVA</v>
      </c>
    </row>
    <row r="4" spans="1:7" ht="11.25" customHeight="1" thickBot="1">
      <c r="B4" s="394" t="str">
        <f>Criterios!A11 &amp;"  "&amp;Criterios!B11</f>
        <v>Resumenes por Partidos Judiciales  MOGUER</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2.875</v>
      </c>
      <c r="C10" s="446">
        <f>IF(ISNUMBER(NºAsuntos!I10/NºAsuntos!G10),NºAsuntos!I10/NºAsuntos!G10," - ")</f>
        <v>0</v>
      </c>
      <c r="D10" s="447">
        <f>IF(ISNUMBER('Resol  Asuntos'!D10/NºAsuntos!G10),'Resol  Asuntos'!D10/NºAsuntos!G10," - ")</f>
        <v>0</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0.95786924939467311</v>
      </c>
      <c r="C12" s="446">
        <f>IF(ISNUMBER(NºAsuntos!I12/NºAsuntos!G12),NºAsuntos!I12/NºAsuntos!G12," - ")</f>
        <v>1.250252780586451</v>
      </c>
      <c r="D12" s="447">
        <f>IF(ISNUMBER('Resol  Asuntos'!D12/NºAsuntos!G12),'Resol  Asuntos'!D12/NºAsuntos!G12," - ")</f>
        <v>0.26238624873609706</v>
      </c>
      <c r="E12" s="448">
        <f>IF(ISNUMBER((NºAsuntos!C12+NºAsuntos!E12)/NºAsuntos!G12),(NºAsuntos!C12+NºAsuntos!E12)/NºAsuntos!G12," - ")</f>
        <v>2.2502527805864512</v>
      </c>
      <c r="G12" s="466"/>
    </row>
    <row r="13" spans="1:7" ht="14.25" thickTop="1" thickBot="1">
      <c r="A13" s="851" t="str">
        <f>Datos!A13</f>
        <v>TOTAL</v>
      </c>
      <c r="B13" s="861">
        <f>IF(ISNUMBER(NºAsuntos!G13/NºAsuntos!E13),NºAsuntos!G13/NºAsuntos!E13," - ")</f>
        <v>0.9652677279305355</v>
      </c>
      <c r="C13" s="862">
        <f>IF(ISNUMBER(NºAsuntos!I13/NºAsuntos!G13),NºAsuntos!I13/NºAsuntos!G13," - ")</f>
        <v>1.2358820589705148</v>
      </c>
      <c r="D13" s="863">
        <f>IF(ISNUMBER('Resol  Asuntos'!D13/NºAsuntos!G13),'Resol  Asuntos'!D13/NºAsuntos!G13," - ")</f>
        <v>0.25937031484257872</v>
      </c>
      <c r="E13" s="864">
        <f>IF(ISNUMBER((NºAsuntos!C13+NºAsuntos!E13)/NºAsuntos!G13),(NºAsuntos!C13+NºAsuntos!E13)/NºAsuntos!G13," - ")</f>
        <v>2.2358820589705148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0.90604026845637586</v>
      </c>
      <c r="C16" s="446">
        <f>IF(ISNUMBER(NºAsuntos!I16/NºAsuntos!G16),NºAsuntos!I16/NºAsuntos!G16," - ")</f>
        <v>0.64979423868312758</v>
      </c>
      <c r="D16" s="447">
        <f>IF(ISNUMBER('Resol  Asuntos'!D16/NºAsuntos!G16),'Resol  Asuntos'!D16/NºAsuntos!G16," - ")</f>
        <v>0.13950617283950617</v>
      </c>
      <c r="E16" s="448">
        <f>IF(ISNUMBER((NºAsuntos!C16+NºAsuntos!E16)/NºAsuntos!G16),(NºAsuntos!C16+NºAsuntos!E16)/NºAsuntos!G16," - ")</f>
        <v>1.6497942386831275</v>
      </c>
      <c r="G16" s="466"/>
    </row>
    <row r="17" spans="1:7" ht="13.5" thickBot="1">
      <c r="A17" s="405" t="str">
        <f>Datos!A17</f>
        <v>Jdos. Violencia contra la mujer</v>
      </c>
      <c r="B17" s="445">
        <f>IF(ISNUMBER(NºAsuntos!G17/NºAsuntos!E17),NºAsuntos!G17/NºAsuntos!E17," - ")</f>
        <v>0.84450402144772119</v>
      </c>
      <c r="C17" s="446">
        <f>IF(ISNUMBER(NºAsuntos!I17/NºAsuntos!G17),NºAsuntos!I17/NºAsuntos!G17," - ")</f>
        <v>0.30158730158730157</v>
      </c>
      <c r="D17" s="447">
        <f>IF(ISNUMBER('Resol  Asuntos'!D17/NºAsuntos!G17),'Resol  Asuntos'!D17/NºAsuntos!G17," - ")</f>
        <v>0.21269841269841269</v>
      </c>
      <c r="E17" s="448">
        <f>IF(ISNUMBER((NºAsuntos!C17+NºAsuntos!E17)/NºAsuntos!G17),(NºAsuntos!C17+NºAsuntos!E17)/NºAsuntos!G17," - ")</f>
        <v>1.3015873015873016</v>
      </c>
      <c r="G17" s="466"/>
    </row>
    <row r="18" spans="1:7" ht="14.25" thickTop="1" thickBot="1">
      <c r="A18" s="851" t="str">
        <f>Datos!A18</f>
        <v>TOTAL</v>
      </c>
      <c r="B18" s="861">
        <f>IF(ISNUMBER(NºAsuntos!G18/NºAsuntos!E18),NºAsuntos!G18/NºAsuntos!E18," - ")</f>
        <v>0.89852700490998361</v>
      </c>
      <c r="C18" s="862">
        <f>IF(ISNUMBER(NºAsuntos!I18/NºAsuntos!G18),NºAsuntos!I18/NºAsuntos!G18," - ")</f>
        <v>0.60983606557377046</v>
      </c>
      <c r="D18" s="865">
        <f>IF(ISNUMBER('Resol  Asuntos'!D18/NºAsuntos!G18),'Resol  Asuntos'!D18/NºAsuntos!G18," - ")</f>
        <v>0.14790528233151184</v>
      </c>
      <c r="E18" s="864">
        <f>IF(ISNUMBER((NºAsuntos!C18+NºAsuntos!E18)/NºAsuntos!G18),(NºAsuntos!C18+NºAsuntos!E18)/NºAsuntos!G18," - ")</f>
        <v>1.6098360655737705</v>
      </c>
      <c r="G18" s="466"/>
    </row>
    <row r="19" spans="1:7" ht="15.75" customHeight="1" thickTop="1" thickBot="1">
      <c r="A19" s="796" t="str">
        <f>Datos!A19</f>
        <v>TOTAL JURISDICCIONES</v>
      </c>
      <c r="B19" s="811">
        <f>IF(ISNUMBER(NºAsuntos!G19/NºAsuntos!E19),NºAsuntos!G19/NºAsuntos!E19," - ")</f>
        <v>0.92550702028081122</v>
      </c>
      <c r="C19" s="812">
        <f>IF(ISNUMBER(NºAsuntos!I19/NºAsuntos!G19),NºAsuntos!I19/NºAsuntos!G19," - ")</f>
        <v>0.87378845343447109</v>
      </c>
      <c r="D19" s="813">
        <f>IF(ISNUMBER('Resol  Asuntos'!D19/NºAsuntos!G19),'Resol  Asuntos'!D19/NºAsuntos!G19," - ")</f>
        <v>0.19490096923725242</v>
      </c>
      <c r="E19" s="814">
        <f>IF(ISNUMBER((NºAsuntos!C19+NºAsuntos!E19)/NºAsuntos!G19),(NºAsuntos!C19+NºAsuntos!E19)/NºAsuntos!G19," - ")</f>
        <v>1.8737884534344711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qU8rabk1jBiKO1n2I8HPZJdmIrCPJCxzAA2XGOB8gVgBwuJFKZzfJXSw7S+MBM90DfQ2ng/uf1/hoS59/Oy9w==" saltValue="9OZyOOjNeF+zsRAXLou9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HUELVA</v>
      </c>
      <c r="N2" s="265" t="str">
        <f>Criterios!A11 &amp;"  "&amp;Criterios!B11</f>
        <v>Resumenes por Partidos Judiciales  MOGUER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15</v>
      </c>
      <c r="G10" s="336">
        <f>IF(ISNUMBER(Datos!I10),Datos!I10," - ")</f>
        <v>15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23</v>
      </c>
      <c r="X10" s="229">
        <f>IF(ISNUMBER(Datos!Q10),Datos!Q10," - ")</f>
        <v>11</v>
      </c>
      <c r="Y10" s="337">
        <f t="shared" ref="Y10:Y12" si="0">SUM(W10:X10)</f>
        <v>34</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2.875</v>
      </c>
      <c r="AM10" s="263">
        <f>IF(ISNUMBER(((NºAsuntos!I10/NºAsuntos!G10)*11)/factor_trimestre),((NºAsuntos!I10/NºAsuntos!G10)*11)/factor_trimestre," - ")</f>
        <v>0</v>
      </c>
      <c r="AN10" s="247">
        <f>IF(ISNUMBER('Resol  Asuntos'!D10/NºAsuntos!G10),'Resol  Asuntos'!D10/NºAsuntos!G10," - ")</f>
        <v>0</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464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278</v>
      </c>
      <c r="Y12" s="337">
        <f t="shared" si="0"/>
        <v>278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2311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519</v>
      </c>
      <c r="AJ12" s="232" t="str">
        <f>IF(ISNUMBER(Datos!BW12),Datos!BW12," - ")</f>
        <v xml:space="preserve"> - </v>
      </c>
      <c r="AK12" s="231" t="str">
        <f>IF(ISNUMBER(Datos!BX12),Datos!BX12," - ")</f>
        <v xml:space="preserve"> - </v>
      </c>
      <c r="AL12" s="246">
        <f>IF(ISNUMBER(NºAsuntos!G12/NºAsuntos!E12),NºAsuntos!G12/NºAsuntos!E12," - ")</f>
        <v>0.95786924939467311</v>
      </c>
      <c r="AM12" s="263">
        <f>IF(ISNUMBER(((NºAsuntos!I12/NºAsuntos!G12)*11)/factor_trimestre),((NºAsuntos!I12/NºAsuntos!G12)*11)/factor_trimestre," - ")</f>
        <v>13.75278058645096</v>
      </c>
      <c r="AN12" s="247">
        <f>IF(ISNUMBER('Resol  Asuntos'!D12/NºAsuntos!G12),'Resol  Asuntos'!D12/NºAsuntos!G12," - ")</f>
        <v>0.26238624873609706</v>
      </c>
      <c r="AO12" s="248">
        <f>IF(ISNUMBER((NºAsuntos!C12+NºAsuntos!E12)/NºAsuntos!G12),(NºAsuntos!C12+NºAsuntos!E12)/NºAsuntos!G12," - ")</f>
        <v>2.2502527805864512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15</v>
      </c>
      <c r="G13" s="869">
        <f t="shared" si="3"/>
        <v>15</v>
      </c>
      <c r="H13" s="868">
        <f t="shared" si="3"/>
        <v>0</v>
      </c>
      <c r="I13" s="870">
        <f t="shared" si="3"/>
        <v>0</v>
      </c>
      <c r="J13" s="870">
        <f t="shared" si="3"/>
        <v>0</v>
      </c>
      <c r="K13" s="870">
        <f t="shared" si="3"/>
        <v>0</v>
      </c>
      <c r="L13" s="870">
        <f t="shared" si="3"/>
        <v>470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23</v>
      </c>
      <c r="X13" s="870">
        <f t="shared" si="4"/>
        <v>289</v>
      </c>
      <c r="Y13" s="871">
        <f t="shared" si="4"/>
        <v>312</v>
      </c>
      <c r="Z13" s="871">
        <f t="shared" si="4"/>
        <v>0</v>
      </c>
      <c r="AA13" s="871">
        <f t="shared" si="4"/>
        <v>0</v>
      </c>
      <c r="AB13" s="871">
        <f t="shared" si="4"/>
        <v>2311</v>
      </c>
      <c r="AC13" s="871">
        <f t="shared" si="4"/>
        <v>0</v>
      </c>
      <c r="AD13" s="871">
        <f t="shared" si="4"/>
        <v>0</v>
      </c>
      <c r="AE13" s="875">
        <f t="shared" si="4"/>
        <v>0</v>
      </c>
      <c r="AF13" s="868">
        <f t="shared" si="4"/>
        <v>0</v>
      </c>
      <c r="AG13" s="876">
        <f t="shared" si="4"/>
        <v>0</v>
      </c>
      <c r="AH13" s="873">
        <f t="shared" si="4"/>
        <v>0</v>
      </c>
      <c r="AI13" s="868">
        <f t="shared" si="4"/>
        <v>519</v>
      </c>
      <c r="AJ13" s="870">
        <f t="shared" si="4"/>
        <v>0</v>
      </c>
      <c r="AK13" s="873">
        <f>SUBTOTAL(9,AK9:AK12)</f>
        <v>0</v>
      </c>
      <c r="AL13" s="877">
        <f>IF(ISNUMBER(NºAsuntos!G13/NºAsuntos!E13),NºAsuntos!G13/NºAsuntos!E13," - ")</f>
        <v>0.9652677279305355</v>
      </c>
      <c r="AM13" s="877">
        <f>IF(ISNUMBER(((NºAsuntos!I13/NºAsuntos!G13)*11)/factor_trimestre),((NºAsuntos!I13/NºAsuntos!G13)*11)/factor_trimestre," - ")</f>
        <v>13.594702648675664</v>
      </c>
      <c r="AN13" s="878">
        <f>IF(ISNUMBER('Resol  Asuntos'!D13/NºAsuntos!G13),'Resol  Asuntos'!D13/NºAsuntos!G13," - ")</f>
        <v>0.25937031484257872</v>
      </c>
      <c r="AO13" s="879">
        <f>IF(ISNUMBER((NºAsuntos!C13+NºAsuntos!E13)/NºAsuntos!G13),(NºAsuntos!C13+NºAsuntos!E13)/NºAsuntos!G13," - ")</f>
        <v>2.2358820589705148</v>
      </c>
      <c r="AP13" s="880" t="str">
        <f t="shared" si="2"/>
        <v xml:space="preserve"> - </v>
      </c>
      <c r="AQ13" s="880">
        <f>IF(ISNUMBER((H13-W13+K13)/(F13)),(H13-W13+K13)/(F13)," - ")</f>
        <v>-1.5333333333333334</v>
      </c>
      <c r="AR13" s="881">
        <f>IF(ISNUMBER((Datos!P13-Datos!Q13)/(Datos!R13-Datos!P13+Datos!Q13)),(Datos!P13-Datos!Q13)/(Datos!R13-Datos!P13+Datos!Q13)," - ")</f>
        <v>8.4976525821596247E-2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1327</v>
      </c>
      <c r="G16" s="336">
        <f>IF(ISNUMBER(IF(D_I="SI",Datos!I16,Datos!I16+Datos!AC16)),IF(D_I="SI",Datos!I16,Datos!I16+Datos!AC16)," - ")</f>
        <v>1327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2430</v>
      </c>
      <c r="X16" s="229">
        <f>IF(ISNUMBER(Datos!Q16),Datos!Q16," - ")</f>
        <v>23</v>
      </c>
      <c r="Y16" s="337">
        <f t="shared" ref="Y16:Y17" si="7">SUM(W16:X16)</f>
        <v>2453</v>
      </c>
      <c r="Z16" s="338" t="str">
        <f>IF(ISNUMBER(Datos!CC16),Datos!CC16," - ")</f>
        <v xml:space="preserve"> - </v>
      </c>
      <c r="AA16" s="335">
        <f>IF(ISNUMBER(IF(D_I="SI",Datos!L16,Datos!L16+Datos!AF16)),IF(D_I="SI",Datos!L16,Datos!L16+Datos!AF16)," - ")</f>
        <v>1579</v>
      </c>
      <c r="AB16" s="337">
        <f>IF(ISNUMBER(Datos!R16),Datos!R16," - ")</f>
        <v>73</v>
      </c>
      <c r="AC16" s="337">
        <f t="shared" si="6"/>
        <v>1652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339</v>
      </c>
      <c r="AJ16" s="234" t="str">
        <f>IF(ISNUMBER(Datos!BW16),Datos!BW16," - ")</f>
        <v xml:space="preserve"> - </v>
      </c>
      <c r="AK16" s="235" t="str">
        <f>IF(ISNUMBER(Datos!BX16),Datos!BX16," - ")</f>
        <v xml:space="preserve"> - </v>
      </c>
      <c r="AL16" s="246">
        <f>IF(ISNUMBER(NºAsuntos!G16/NºAsuntos!E16),NºAsuntos!G16/NºAsuntos!E16," - ")</f>
        <v>0.90604026845637586</v>
      </c>
      <c r="AM16" s="263">
        <f>IF(ISNUMBER(((NºAsuntos!I16/NºAsuntos!G16)*11)/factor_trimestre),((NºAsuntos!I16/NºAsuntos!G16)*11)/factor_trimestre," - ")</f>
        <v>7.147736625514403</v>
      </c>
      <c r="AN16" s="247">
        <f>IF(ISNUMBER('Resol  Asuntos'!D16/NºAsuntos!G16),'Resol  Asuntos'!D16/NºAsuntos!G16," - ")</f>
        <v>0.13950617283950617</v>
      </c>
      <c r="AO16" s="248">
        <f>IF(ISNUMBER((NºAsuntos!C16+NºAsuntos!E16)/NºAsuntos!G16),(NºAsuntos!C16+NºAsuntos!E16)/NºAsuntos!G16," - ")</f>
        <v>1.6497942386831275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315</v>
      </c>
      <c r="X17" s="229">
        <f>IF(ISNUMBER(Datos!Q17),Datos!Q17," - ")</f>
        <v>2</v>
      </c>
      <c r="Y17" s="337">
        <f t="shared" si="7"/>
        <v>317</v>
      </c>
      <c r="Z17" s="338" t="str">
        <f>IF(ISNUMBER(Datos!CC17),Datos!CC17," - ")</f>
        <v xml:space="preserve"> - </v>
      </c>
      <c r="AA17" s="335">
        <f>IF(ISNUMBER(Datos!L17),Datos!L17,"-")</f>
        <v>95</v>
      </c>
      <c r="AB17" s="337">
        <f>IF(ISNUMBER(Datos!R17),Datos!R17," - ")</f>
        <v>0</v>
      </c>
      <c r="AC17" s="337">
        <f t="shared" si="6"/>
        <v>95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67</v>
      </c>
      <c r="AJ17" s="234" t="str">
        <f>IF(ISNUMBER(Datos!BW17),Datos!BW17," - ")</f>
        <v xml:space="preserve"> - </v>
      </c>
      <c r="AK17" s="235" t="str">
        <f>IF(ISNUMBER(Datos!BX17),Datos!BX17," - ")</f>
        <v xml:space="preserve"> - </v>
      </c>
      <c r="AL17" s="246">
        <f>IF(ISNUMBER(NºAsuntos!G17/NºAsuntos!E17),NºAsuntos!G17/NºAsuntos!E17," - ")</f>
        <v>0.84450402144772119</v>
      </c>
      <c r="AM17" s="263">
        <f>IF(ISNUMBER(((NºAsuntos!I17/NºAsuntos!G17)*11)/factor_trimestre),((NºAsuntos!I17/NºAsuntos!G17)*11)/factor_trimestre," - ")</f>
        <v>3.3174603174603172</v>
      </c>
      <c r="AN17" s="247">
        <f>IF(ISNUMBER('Resol  Asuntos'!D17/NºAsuntos!G17),'Resol  Asuntos'!D17/NºAsuntos!G17," - ")</f>
        <v>0.21269841269841269</v>
      </c>
      <c r="AO17" s="248">
        <f>IF(ISNUMBER((NºAsuntos!C17+NºAsuntos!E17)/NºAsuntos!G17),(NºAsuntos!C17+NºAsuntos!E17)/NºAsuntos!G17," - ")</f>
        <v>1.3015873015873016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1327</v>
      </c>
      <c r="G18" s="869">
        <f>SUBTOTAL(9,G15:G17)</f>
        <v>1364</v>
      </c>
      <c r="H18" s="868">
        <f t="shared" ref="H18:O18" si="10">SUBTOTAL(9,H14:H17)</f>
        <v>0</v>
      </c>
      <c r="I18" s="870">
        <f t="shared" si="10"/>
        <v>0</v>
      </c>
      <c r="J18" s="870">
        <f t="shared" si="10"/>
        <v>0</v>
      </c>
      <c r="K18" s="870">
        <f t="shared" si="10"/>
        <v>0</v>
      </c>
      <c r="L18" s="870">
        <f t="shared" si="10"/>
        <v>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2745</v>
      </c>
      <c r="X18" s="870">
        <f t="shared" si="11"/>
        <v>25</v>
      </c>
      <c r="Y18" s="871">
        <f t="shared" si="11"/>
        <v>2770</v>
      </c>
      <c r="Z18" s="871">
        <f t="shared" si="11"/>
        <v>0</v>
      </c>
      <c r="AA18" s="871">
        <f t="shared" si="11"/>
        <v>1674</v>
      </c>
      <c r="AB18" s="871">
        <f t="shared" si="11"/>
        <v>73</v>
      </c>
      <c r="AC18" s="871">
        <f t="shared" si="11"/>
        <v>1747</v>
      </c>
      <c r="AD18" s="871">
        <f t="shared" si="11"/>
        <v>0</v>
      </c>
      <c r="AE18" s="875">
        <f t="shared" si="11"/>
        <v>0</v>
      </c>
      <c r="AF18" s="868">
        <f t="shared" si="11"/>
        <v>0</v>
      </c>
      <c r="AG18" s="876">
        <f t="shared" si="11"/>
        <v>0</v>
      </c>
      <c r="AH18" s="873">
        <f t="shared" si="11"/>
        <v>0</v>
      </c>
      <c r="AI18" s="868">
        <f t="shared" si="11"/>
        <v>406</v>
      </c>
      <c r="AJ18" s="870">
        <f t="shared" si="11"/>
        <v>0</v>
      </c>
      <c r="AK18" s="873">
        <f t="shared" si="11"/>
        <v>0</v>
      </c>
      <c r="AL18" s="877">
        <f>IF(ISNUMBER(NºAsuntos!G18/NºAsuntos!E18),NºAsuntos!G18/NºAsuntos!E18," - ")</f>
        <v>0.89852700490998361</v>
      </c>
      <c r="AM18" s="877">
        <f>IF(ISNUMBER(((NºAsuntos!I18/NºAsuntos!G18)*11)/factor_trimestre),((NºAsuntos!I18/NºAsuntos!G18)*11)/factor_trimestre," - ")</f>
        <v>6.7081967213114755</v>
      </c>
      <c r="AN18" s="878">
        <f>IF(ISNUMBER('Resol  Asuntos'!D18/NºAsuntos!G18),'Resol  Asuntos'!D18/NºAsuntos!G18," - ")</f>
        <v>0.14790528233151184</v>
      </c>
      <c r="AO18" s="879">
        <f>IF(ISNUMBER((NºAsuntos!C18+NºAsuntos!E18)/NºAsuntos!G18),(NºAsuntos!C18+NºAsuntos!E18)/NºAsuntos!G18," - ")</f>
        <v>1.6098360655737705</v>
      </c>
      <c r="AP18" s="880" t="str">
        <f t="shared" si="2"/>
        <v xml:space="preserve"> - </v>
      </c>
      <c r="AQ18" s="880">
        <f>IF(ISNUMBER((H18-W18+K18)/(F18)),(H18-W18+K18)/(F18)," - ")</f>
        <v>-2.0685757347400151</v>
      </c>
      <c r="AR18" s="881">
        <f>IF(ISNUMBER((Datos!P18-Datos!Q18)/(Datos!R18-Datos!P18+Datos!Q18)),(Datos!P18-Datos!Q18)/(Datos!R18-Datos!P18+Datos!Q18)," - ")</f>
        <v>-0.1797752808988764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1342</v>
      </c>
      <c r="G19" s="824">
        <f t="shared" si="13"/>
        <v>1379</v>
      </c>
      <c r="H19" s="823">
        <f t="shared" si="13"/>
        <v>0</v>
      </c>
      <c r="I19" s="825">
        <f t="shared" si="13"/>
        <v>0</v>
      </c>
      <c r="J19" s="825">
        <f t="shared" si="13"/>
        <v>0</v>
      </c>
      <c r="K19" s="884">
        <f t="shared" si="13"/>
        <v>0</v>
      </c>
      <c r="L19" s="825">
        <f t="shared" si="13"/>
        <v>479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2768</v>
      </c>
      <c r="X19" s="824">
        <f t="shared" si="14"/>
        <v>314</v>
      </c>
      <c r="Y19" s="831">
        <f t="shared" si="14"/>
        <v>3082</v>
      </c>
      <c r="Z19" s="831">
        <f t="shared" si="14"/>
        <v>0</v>
      </c>
      <c r="AA19" s="831">
        <f t="shared" si="14"/>
        <v>1674</v>
      </c>
      <c r="AB19" s="831">
        <f t="shared" si="14"/>
        <v>2384</v>
      </c>
      <c r="AC19" s="831">
        <f t="shared" si="14"/>
        <v>1747</v>
      </c>
      <c r="AD19" s="831">
        <f t="shared" si="14"/>
        <v>0</v>
      </c>
      <c r="AE19" s="833">
        <f t="shared" si="14"/>
        <v>0</v>
      </c>
      <c r="AF19" s="834">
        <f t="shared" si="14"/>
        <v>0</v>
      </c>
      <c r="AG19" s="835">
        <f t="shared" si="14"/>
        <v>0</v>
      </c>
      <c r="AH19" s="833">
        <f t="shared" si="14"/>
        <v>0</v>
      </c>
      <c r="AI19" s="823">
        <f t="shared" si="14"/>
        <v>925</v>
      </c>
      <c r="AJ19" s="823">
        <f t="shared" si="14"/>
        <v>0</v>
      </c>
      <c r="AK19" s="833">
        <f t="shared" si="14"/>
        <v>0</v>
      </c>
      <c r="AL19" s="887">
        <f>IF(ISNUMBER(NºAsuntos!G19/NºAsuntos!E19),NºAsuntos!G19/NºAsuntos!E19," - ")</f>
        <v>0.92550702028081122</v>
      </c>
      <c r="AM19" s="888">
        <f>IF(ISNUMBER(((NºAsuntos!I19/NºAsuntos!G19)*11)/factor_trimestre),((NºAsuntos!I19/NºAsuntos!G19)*11)/factor_trimestre," - ")</f>
        <v>9.6116729877791816</v>
      </c>
      <c r="AN19" s="888">
        <f>IF(ISNUMBER('Resol  Asuntos'!D19/NºAsuntos!G19),'Resol  Asuntos'!D19/NºAsuntos!G19," - ")</f>
        <v>0.19490096923725242</v>
      </c>
      <c r="AO19" s="889">
        <f>IF(ISNUMBER((NºAsuntos!C19+NºAsuntos!E19)/NºAsuntos!G19),(NºAsuntos!C19+NºAsuntos!E19)/NºAsuntos!G19," - ")</f>
        <v>1.8737884534344711</v>
      </c>
      <c r="AP19" s="890" t="str">
        <f t="shared" si="2"/>
        <v xml:space="preserve"> - </v>
      </c>
      <c r="AQ19" s="891">
        <f>IF(OR(ISNUMBER(FIND("01",Criterios!A8,1)),ISNUMBER(FIND("02",Criterios!A8,1)),ISNUMBER(FIND("03",Criterios!A8,1)),ISNUMBER(FIND("04",Criterios!A8,1))),(I19-W19+K19)/(F19-K19),(H19-W19+K19)/(F19-K19))</f>
        <v>-2.0625931445603576</v>
      </c>
      <c r="AR19" s="892">
        <f>IF(ISNUMBER((Datos!P19-Datos!Q19)/(Datos!R19-Datos!P19+Datos!Q19)),(Datos!P19-Datos!Q19)/(Datos!R19-Datos!P19+Datos!Q19)," - ")</f>
        <v>7.4357818837314099E-2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551.6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757.48355317678897</v>
      </c>
      <c r="G21" s="256">
        <f>IF(ISNUMBER(STDEV(G8:G18)),STDEV(G8:G18),"-")</f>
        <v>724.90192440081159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1361.134526782713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224.74489241508178</v>
      </c>
      <c r="AJ21" s="255">
        <f t="shared" si="18"/>
        <v>0</v>
      </c>
      <c r="AK21" s="257">
        <f t="shared" si="18"/>
        <v>0</v>
      </c>
      <c r="AL21" s="252">
        <f t="shared" si="18"/>
        <v>0.80160363018246039</v>
      </c>
      <c r="AM21" s="253">
        <f t="shared" si="18"/>
        <v>5.489974239046747</v>
      </c>
      <c r="AN21" s="253">
        <f t="shared" si="18"/>
        <v>9.8653835228952075E-2</v>
      </c>
      <c r="AO21" s="254">
        <f t="shared" si="18"/>
        <v>0.4990885671860682</v>
      </c>
      <c r="AP21" s="294" t="str">
        <f t="shared" si="18"/>
        <v>-</v>
      </c>
      <c r="AQ21" s="295">
        <f t="shared" si="18"/>
        <v>0.3784735316132356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OvhqsxJLxL7yZRyu9uTKrT4kuSuKmhYIzUtxOAChr74VdRKwdZnB4vCXeoaYTzsxbWC4fnP/NpBxiZoQPI2guw==" saltValue="XQAOrLQBw/1uZ9MjM4446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HUELVA</v>
      </c>
      <c r="E3" s="266"/>
    </row>
    <row r="4" spans="2:20" ht="17.25" customHeight="1" thickBot="1">
      <c r="D4" s="265" t="str">
        <f>Criterios!A11 &amp;"  "&amp;Criterios!B11</f>
        <v>Resumenes por Partidos Judiciales  MOGUER</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0.66666666666666663</v>
      </c>
      <c r="E10" s="351">
        <f>IF(ISNUMBER((Datos!J10-Datos!T10)/Datos!T10),(Datos!J10-Datos!T10)/Datos!T10," - ")</f>
        <v>-0.81818181818181823</v>
      </c>
      <c r="F10" s="351">
        <f>IF(ISNUMBER((Datos!K10-Datos!U10)/Datos!U10),(Datos!K10-Datos!U10)/Datos!U10," - ")</f>
        <v>-0.39473684210526316</v>
      </c>
      <c r="G10" s="352">
        <f>IF(ISNUMBER((Datos!L10-Datos!V10)/Datos!V10),(Datos!L10-Datos!V10)/Datos!V10," - ")</f>
        <v>-1</v>
      </c>
      <c r="H10" s="233">
        <f>IF(ISNUMBER((Datos!M10-Datos!W10)/Datos!W10),(Datos!M10-Datos!W10)/Datos!W10," - ")</f>
        <v>-1</v>
      </c>
      <c r="I10" s="353">
        <f>IF(ISNUMBER((Tasas!C10-Datos!BE10)/Datos!BE10),(Tasas!C10-Datos!BE10)/Datos!BE10," - ")</f>
        <v>-1</v>
      </c>
      <c r="J10" s="352">
        <f>IF(ISNUMBER((Tasas!D10-Datos!BF10)/Datos!BF10),(Tasas!D10-Datos!BF10)/Datos!BF10," - ")</f>
        <v>-1</v>
      </c>
      <c r="K10" s="354">
        <f>IF(ISNUMBER((Tasas!E10-Datos!BG10)/Datos!BG10),(Tasas!E10-Datos!BG10)/Datos!BG10," - ")</f>
        <v>-0.28301886792452824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0.59692307692307689</v>
      </c>
      <c r="I12" s="353">
        <f>IF(ISNUMBER((Tasas!C12-Datos!BE12)/Datos!BE12),(Tasas!C12-Datos!BE12)/Datos!BE12," - ")</f>
        <v>-0.15846355170920357</v>
      </c>
      <c r="J12" s="352">
        <f>IF(ISNUMBER((Tasas!D12-Datos!BF12)/Datos!BF12),(Tasas!D12-Datos!BF12)/Datos!BF12," - ")</f>
        <v>-0.46044517865534973</v>
      </c>
      <c r="K12" s="354">
        <f>IF(ISNUMBER((Tasas!E12-Datos!BG12)/Datos!BG12),(Tasas!E12-Datos!BG12)/Datos!BG12," - ")</f>
        <v>-9.4712934463466847E-2</v>
      </c>
      <c r="M12" t="e">
        <f>IF(Monitorios="SI",Datos!CE12,0)</f>
        <v>#REF!</v>
      </c>
      <c r="N12" t="e">
        <f>IF(Monitorios="SI",Datos!CF12,0)</f>
        <v>#REF!</v>
      </c>
      <c r="O12" t="e">
        <f>IF(Monitorios="SI",Datos!CG12,0)</f>
        <v>#REF!</v>
      </c>
      <c r="P12" t="e">
        <f>IF(Monitorios="SI",Datos!CH12,0)</f>
        <v>#REF!</v>
      </c>
      <c r="Q12">
        <f>IF(J_V="SI",0,Datos!AG12)</f>
        <v>41</v>
      </c>
      <c r="R12">
        <f>IF(J_V="SI",0,Datos!AH12)</f>
        <v>96</v>
      </c>
      <c r="S12">
        <f>IF(J_V="SI",0,Datos!AI12)</f>
        <v>83</v>
      </c>
      <c r="T12">
        <f>IF(J_V="SI",0,Datos!AJ12)</f>
        <v>54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0.55855855855855852</v>
      </c>
      <c r="I13" s="360">
        <f>IF(ISNUMBER((Tasas!C13-Datos!BE13)/Datos!BE13),(Tasas!C13-Datos!BE13)/Datos!BE13," - ")</f>
        <v>-0.15377338402851878</v>
      </c>
      <c r="J13" s="358">
        <f>IF(ISNUMBER((Tasas!D13-Datos!BF13)/Datos!BF13),(Tasas!D13-Datos!BF13)/Datos!BF13," - ")</f>
        <v>-0.45956299416831509</v>
      </c>
      <c r="K13" s="361">
        <f>IF(ISNUMBER((Tasas!E13-Datos!BG13)/Datos!BG13),(Tasas!E13-Datos!BG13)/Datos!BG13," - ")</f>
        <v>-9.1275623004319809E-2</v>
      </c>
      <c r="M13" t="e">
        <f>IF(Monitorios="SI",Datos!CE13,0)</f>
        <v>#REF!</v>
      </c>
      <c r="N13" t="e">
        <f>IF(Monitorios="SI",Datos!CF13,0)</f>
        <v>#REF!</v>
      </c>
      <c r="O13" t="e">
        <f>IF(Monitorios="SI",Datos!CG13,0)</f>
        <v>#REF!</v>
      </c>
      <c r="P13" t="e">
        <f>IF(Monitorios="SI",Datos!CH13,0)</f>
        <v>#REF!</v>
      </c>
      <c r="Q13">
        <f>IF(J_V="SI",0,Datos!AG13)</f>
        <v>41</v>
      </c>
      <c r="R13">
        <f>IF(J_V="SI",0,Datos!AH13)</f>
        <v>96</v>
      </c>
      <c r="S13">
        <f>IF(J_V="SI",0,Datos!AI13)</f>
        <v>83</v>
      </c>
      <c r="T13">
        <f>IF(J_V="SI",0,Datos!AJ13)</f>
        <v>54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0.48268156424581005</v>
      </c>
      <c r="E16" s="351">
        <f>IF(ISNUMBER(
   IF(D_I="SI",(Datos!J16-Datos!T16)/Datos!T16,(Datos!J16+Datos!AD16-(Datos!T16+Datos!AL16))/(Datos!T16+Datos!AL16))
     ),IF(D_I="SI",(Datos!J16-Datos!T16)/Datos!T16,(Datos!J16+Datos!AD16-(Datos!T16+Datos!AL16))/(Datos!T16+Datos!AL16))," - ")</f>
        <v>-9.0230664857530535E-2</v>
      </c>
      <c r="F16" s="351">
        <f>IF(ISNUMBER(
   IF(D_I="SI",(Datos!K16-Datos!U16)/Datos!U16,(Datos!K16+Datos!AE16-(Datos!U16+Datos!AM16))/(Datos!U16+Datos!AM16))
     ),IF(D_I="SI",(Datos!K16-Datos!U16)/Datos!U16,(Datos!K16+Datos!AE16-(Datos!U16+Datos!AM16))/(Datos!U16+Datos!AM16))," - ")</f>
        <v>-3.4181240063593007E-2</v>
      </c>
      <c r="G16" s="352">
        <f>IF(ISNUMBER(
   IF(D_I="SI",(Datos!L16-Datos!V16)/Datos!V16,(Datos!L16+Datos!AF16-(Datos!V16+Datos!AN16))/(Datos!V16+Datos!AN16))
     ),IF(D_I="SI",(Datos!L16-Datos!V16)/Datos!V16,(Datos!L16+Datos!AF16-(Datos!V16+Datos!AN16))/(Datos!V16+Datos!AN16))," - ")</f>
        <v>0.18990203466465713</v>
      </c>
      <c r="H16" s="233">
        <f>IF(ISNUMBER((Datos!M16-Datos!W16)/Datos!W16),(Datos!M16-Datos!W16)/Datos!W16," - ")</f>
        <v>-0.25330396475770928</v>
      </c>
      <c r="I16" s="353">
        <f>IF(ISNUMBER((Tasas!C16-Datos!BE16)/Datos!BE16),(Tasas!C16-Datos!BE16)/Datos!BE16," - ")</f>
        <v>0.23201379391616359</v>
      </c>
      <c r="J16" s="352">
        <f>IF(ISNUMBER((Tasas!D16-Datos!BF16)/Datos!BF16),(Tasas!D16-Datos!BF16)/Datos!BF16," - ")</f>
        <v>-0.2268776853211508</v>
      </c>
      <c r="K16" s="354">
        <f>IF(ISNUMBER((Tasas!E16-Datos!BG16)/Datos!BG16),(Tasas!E16-Datos!BG16)/Datos!BG16," - ")</f>
        <v>8.0115093553668693E-2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-0.3728813559322034</v>
      </c>
      <c r="E17" s="351">
        <f>IF(ISNUMBER(
   IF(D_I="SI",(Datos!J17-Datos!T17)/Datos!T17,(Datos!J17+Datos!AD17-(Datos!T17+Datos!AL17))/(Datos!T17+Datos!AL17))
     ),IF(D_I="SI",(Datos!J17-Datos!T17)/Datos!T17,(Datos!J17+Datos!AD17-(Datos!T17+Datos!AL17))/(Datos!T17+Datos!AL17))," - ")</f>
        <v>-0.17660044150110377</v>
      </c>
      <c r="F17" s="351">
        <f>IF(ISNUMBER(
   IF(D_I="SI",(Datos!K17-Datos!U17)/Datos!U17,(Datos!K17+Datos!AE17-(Datos!U17+Datos!AM17))/(Datos!U17+Datos!AM17))
     ),IF(D_I="SI",(Datos!K17-Datos!U17)/Datos!U17,(Datos!K17+Datos!AE17-(Datos!U17+Datos!AM17))/(Datos!U17+Datos!AM17))," - ")</f>
        <v>-0.33684210526315789</v>
      </c>
      <c r="G17" s="352">
        <f>IF(ISNUMBER(
   IF(D_I="SI",(Datos!L17-Datos!V17)/Datos!V17,(Datos!L17+Datos!AF17-(Datos!V17+Datos!AN17))/(Datos!V17+Datos!AN17))
     ),IF(D_I="SI",(Datos!L17-Datos!V17)/Datos!V17,(Datos!L17+Datos!AF17-(Datos!V17+Datos!AN17))/(Datos!V17+Datos!AN17))," - ")</f>
        <v>1.5675675675675675</v>
      </c>
      <c r="H17" s="233">
        <f>IF(ISNUMBER((Datos!M17-Datos!W17)/Datos!W17),(Datos!M17-Datos!W17)/Datos!W17," - ")</f>
        <v>-0.11842105263157894</v>
      </c>
      <c r="I17" s="353">
        <f>IF(ISNUMBER((Tasas!C17-Datos!BE17)/Datos!BE17),(Tasas!C17-Datos!BE17)/Datos!BE17," - ")</f>
        <v>2.8717288717288714</v>
      </c>
      <c r="J17" s="352">
        <f>IF(ISNUMBER((Tasas!D17-Datos!BF17)/Datos!BF17),(Tasas!D17-Datos!BF17)/Datos!BF17," - ")</f>
        <v>0.32936507936507931</v>
      </c>
      <c r="K17" s="354">
        <f>IF(ISNUMBER((Tasas!E17-Datos!BG17)/Datos!BG17),(Tasas!E17-Datos!BG17)/Datos!BG17," - ")</f>
        <v>0.2075272817460318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0.42976939203354297</v>
      </c>
      <c r="E18" s="357">
        <f>IF(ISNUMBER(
   IF(D_I="SI",(Datos!J18-Datos!T18)/Datos!T18,(Datos!J18+Datos!AD18-(Datos!T18+Datos!AL18))/(Datos!T18+Datos!AL18))
     ),IF(D_I="SI",(Datos!J18-Datos!T18)/Datos!T18,(Datos!J18+Datos!AD18-(Datos!T18+Datos!AL18))/(Datos!T18+Datos!AL18))," - ")</f>
        <v>-0.10173478388709203</v>
      </c>
      <c r="F18" s="357">
        <f>IF(ISNUMBER(
   IF(D_I="SI",(Datos!K18-Datos!U18)/Datos!U18,(Datos!K18+Datos!AE18-(Datos!U18+Datos!AM18))/(Datos!U18+Datos!AM18))
     ),IF(D_I="SI",(Datos!K18-Datos!U18)/Datos!U18,(Datos!K18+Datos!AE18-(Datos!U18+Datos!AM18))/(Datos!U18+Datos!AM18))," - ")</f>
        <v>-8.2246740220661987E-2</v>
      </c>
      <c r="G18" s="358">
        <f>IF(ISNUMBER(
   IF(D_I="SI",(Datos!L18-Datos!V18)/Datos!V18,(Datos!L18+Datos!AF18-(Datos!V18+Datos!AN18))/(Datos!V18+Datos!AN18))
     ),IF(D_I="SI",(Datos!L18-Datos!V18)/Datos!V18,(Datos!L18+Datos!AF18-(Datos!V18+Datos!AN18))/(Datos!V18+Datos!AN18))," - ")</f>
        <v>0.22727272727272727</v>
      </c>
      <c r="H18" s="359">
        <f>IF(ISNUMBER((Datos!M18-Datos!W18)/Datos!W18),(Datos!M18-Datos!W18)/Datos!W18," - ")</f>
        <v>-0.2339622641509434</v>
      </c>
      <c r="I18" s="360">
        <f>IF(ISNUMBER((Tasas!C18-Datos!BE18)/Datos!BE18),(Tasas!C18-Datos!BE18)/Datos!BE18," - ")</f>
        <v>0.33725782414306998</v>
      </c>
      <c r="J18" s="358">
        <f>IF(ISNUMBER((Tasas!D18-Datos!BF18)/Datos!BF18),(Tasas!D18-Datos!BF18)/Datos!BF18," - ")</f>
        <v>-0.16531188782348688</v>
      </c>
      <c r="K18" s="361">
        <f>IF(ISNUMBER((Tasas!E18-Datos!BG18)/Datos!BG18),(Tasas!E18-Datos!BG18)/Datos!BG18," - ")</f>
        <v>0.10563023470290407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0.26597175521183591</v>
      </c>
      <c r="E19" s="366">
        <f>IF(ISNUMBER(
   IF(J_V="SI",(Datos!J19-Datos!T19)/Datos!T19,(Datos!J19+Datos!Z19-(Datos!T19+Datos!AH19))/(Datos!T19+Datos!AH19))
     ),IF(J_V="SI",(Datos!J19-Datos!T19)/Datos!T19,(Datos!J19+Datos!Z19-(Datos!T19+Datos!AH19))/(Datos!T19+Datos!AH19))," - ")</f>
        <v>-5.4920751935127167E-2</v>
      </c>
      <c r="F19" s="366">
        <f>IF(ISNUMBER(
   IF(J_V="SI",(Datos!K19-Datos!U19)/Datos!U19,(Datos!K19+Datos!AA19-(Datos!U19+Datos!AI19))/(Datos!U19+Datos!AI19))
     ),IF(J_V="SI",(Datos!K19-Datos!U19)/Datos!U19,(Datos!K19+Datos!AA19-(Datos!U19+Datos!AI19))/(Datos!U19+Datos!AI19))," - ")</f>
        <v>2.3948220064724919E-2</v>
      </c>
      <c r="G19" s="367">
        <f>IF(ISNUMBER(
   IF(J_V="SI",(Datos!L19-Datos!V19)/Datos!V19,(Datos!L19+Datos!AB19-(Datos!V19+Datos!AJ19))/(Datos!V19+Datos!AJ19))
     ),IF(J_V="SI",(Datos!L19-Datos!V19)/Datos!V19,(Datos!L19+Datos!AB19-(Datos!V19+Datos!AJ19))/(Datos!V19+Datos!AJ19))," - ")</f>
        <v>0.10146082337317397</v>
      </c>
      <c r="H19" s="368">
        <f>IF(ISNUMBER((Datos!M19-Datos!W19)/Datos!W19),(Datos!M19-Datos!W19)/Datos!W19," - ")</f>
        <v>7.1842410196987255E-2</v>
      </c>
      <c r="I19" s="365">
        <f>IF(ISNUMBER((Tasas!C19-Datos!BE19)/Datos!BE19),(Tasas!C19-Datos!BE19)/Datos!BE19," - ")</f>
        <v>7.5699729526898657E-2</v>
      </c>
      <c r="J19" s="366">
        <f>IF(ISNUMBER((Tasas!D19-Datos!BF19)/Datos!BF19),(Tasas!D19-Datos!BF19)/Datos!BF19," - ")</f>
        <v>-0.31511297011776723</v>
      </c>
      <c r="K19" s="367">
        <f>IF(ISNUMBER((Tasas!E19-Datos!BG19)/Datos!BG19),(Tasas!E19-Datos!BG19)/Datos!BG19," - ")</f>
        <v>3.3929700198663509E-2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0.46094710104056025</v>
      </c>
      <c r="E21" s="281">
        <f t="shared" si="1"/>
        <v>0.34976573674883638</v>
      </c>
      <c r="F21" s="281">
        <f t="shared" si="1"/>
        <v>0.18021628164128145</v>
      </c>
      <c r="G21" s="282">
        <f t="shared" si="1"/>
        <v>1.0492146889208376</v>
      </c>
      <c r="H21" s="288">
        <f t="shared" si="1"/>
        <v>0.59455004069634654</v>
      </c>
      <c r="I21" s="280">
        <f t="shared" si="1"/>
        <v>1.3196881848311446</v>
      </c>
      <c r="J21" s="281">
        <f t="shared" si="1"/>
        <v>0.4370857743560278</v>
      </c>
      <c r="K21" s="282">
        <f t="shared" si="1"/>
        <v>0.17725080868710916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b3SMb+2b5dbtNjJx6MA/A7cHd7slFkq/ZVvYdmAj1g+vN0sSEVy+kwNcr1khIXOUAd+MXo/kv5lEGgzJXgj2g==" saltValue="PtQkcpgvp0SvgHMW9Eu0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